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xr:revisionPtr revIDLastSave="0" documentId="13_ncr:1_{EA389A04-20D1-423D-8A62-69DA2C64EA31}" xr6:coauthVersionLast="36" xr6:coauthVersionMax="36" xr10:uidLastSave="{00000000-0000-0000-0000-000000000000}"/>
  <bookViews>
    <workbookView xWindow="-120" yWindow="-120" windowWidth="19440" windowHeight="15000" firstSheet="2" activeTab="9" xr2:uid="{00000000-000D-0000-FFFF-FFFF00000000}"/>
  </bookViews>
  <sheets>
    <sheet name="1.Pielikums" sheetId="40" r:id="rId1"/>
    <sheet name="2.Pielikums" sheetId="5" r:id="rId2"/>
    <sheet name="3.Pielikums" sheetId="6" r:id="rId3"/>
    <sheet name="4.Pielikums" sheetId="18" r:id="rId4"/>
    <sheet name="5.Pielikums" sheetId="19" r:id="rId5"/>
    <sheet name="6.Pielikums" sheetId="20" r:id="rId6"/>
    <sheet name="7.Pielikums" sheetId="21" r:id="rId7"/>
    <sheet name="8.Pielikums" sheetId="23" r:id="rId8"/>
    <sheet name="9.Pielikums" sheetId="24" r:id="rId9"/>
    <sheet name="10.Pielikums" sheetId="25" r:id="rId10"/>
    <sheet name="11.Pielikums" sheetId="41" r:id="rId11"/>
    <sheet name="12.Pielikums" sheetId="27" r:id="rId12"/>
    <sheet name="13.Pielikums" sheetId="28" r:id="rId13"/>
    <sheet name="14.Pielikums" sheetId="39" r:id="rId14"/>
    <sheet name="15.Pielikums" sheetId="29" r:id="rId15"/>
    <sheet name="16.Pielikums" sheetId="30" r:id="rId16"/>
    <sheet name="17.Pielikums" sheetId="31" r:id="rId17"/>
    <sheet name="18.Pielikums" sheetId="33" r:id="rId18"/>
    <sheet name="19.Pielikums" sheetId="34" r:id="rId19"/>
    <sheet name="20.Pielikums" sheetId="35" r:id="rId20"/>
    <sheet name="21.Pielikums" sheetId="37" r:id="rId21"/>
    <sheet name="22.Pielikums" sheetId="38" r:id="rId2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38" l="1"/>
  <c r="L39" i="38"/>
  <c r="N39" i="38" s="1"/>
  <c r="J39" i="38"/>
  <c r="I39" i="38"/>
  <c r="H39" i="38"/>
  <c r="G39" i="38"/>
  <c r="F39" i="38"/>
  <c r="E39" i="38"/>
  <c r="D39" i="38"/>
  <c r="C39" i="38"/>
  <c r="O34" i="38"/>
  <c r="L34" i="38"/>
  <c r="I34" i="38"/>
  <c r="H34" i="38"/>
  <c r="G34" i="38"/>
  <c r="E34" i="38"/>
  <c r="D34" i="38"/>
  <c r="C34" i="38"/>
  <c r="O33" i="38"/>
  <c r="L33" i="38"/>
  <c r="I33" i="38"/>
  <c r="H33" i="38"/>
  <c r="G33" i="38"/>
  <c r="E33" i="38"/>
  <c r="D33" i="38"/>
  <c r="C33" i="38"/>
  <c r="O32" i="38"/>
  <c r="L32" i="38"/>
  <c r="I32" i="38"/>
  <c r="H32" i="38"/>
  <c r="G32" i="38"/>
  <c r="E32" i="38"/>
  <c r="D32" i="38"/>
  <c r="C32" i="38"/>
  <c r="O31" i="38"/>
  <c r="L31" i="38"/>
  <c r="I31" i="38"/>
  <c r="H31" i="38"/>
  <c r="G31" i="38"/>
  <c r="E31" i="38"/>
  <c r="D31" i="38"/>
  <c r="C31" i="38"/>
  <c r="O30" i="38"/>
  <c r="L30" i="38"/>
  <c r="I30" i="38"/>
  <c r="H30" i="38"/>
  <c r="G30" i="38"/>
  <c r="E30" i="38"/>
  <c r="D30" i="38"/>
  <c r="C30" i="38"/>
  <c r="O29" i="38"/>
  <c r="L29" i="38"/>
  <c r="I29" i="38"/>
  <c r="H29" i="38"/>
  <c r="G29" i="38"/>
  <c r="E29" i="38"/>
  <c r="D29" i="38"/>
  <c r="C29" i="38"/>
  <c r="O28" i="38"/>
  <c r="L28" i="38"/>
  <c r="I28" i="38"/>
  <c r="H28" i="38"/>
  <c r="G28" i="38"/>
  <c r="E28" i="38"/>
  <c r="D28" i="38"/>
  <c r="C28" i="38"/>
  <c r="O27" i="38"/>
  <c r="L27" i="38"/>
  <c r="I27" i="38"/>
  <c r="H27" i="38"/>
  <c r="G27" i="38"/>
  <c r="E27" i="38"/>
  <c r="D27" i="38"/>
  <c r="C27" i="38"/>
  <c r="O26" i="38"/>
  <c r="L26" i="38"/>
  <c r="I26" i="38"/>
  <c r="H26" i="38"/>
  <c r="G26" i="38"/>
  <c r="E26" i="38"/>
  <c r="D26" i="38"/>
  <c r="C26" i="38"/>
  <c r="O25" i="38"/>
  <c r="L25" i="38"/>
  <c r="I25" i="38"/>
  <c r="H25" i="38"/>
  <c r="G25" i="38"/>
  <c r="E25" i="38"/>
  <c r="D25" i="38"/>
  <c r="C25" i="38"/>
  <c r="O24" i="38"/>
  <c r="L24" i="38"/>
  <c r="I24" i="38"/>
  <c r="H24" i="38"/>
  <c r="G24" i="38"/>
  <c r="E24" i="38"/>
  <c r="D24" i="38"/>
  <c r="C24" i="38"/>
  <c r="O23" i="38"/>
  <c r="L23" i="38"/>
  <c r="I23" i="38"/>
  <c r="H23" i="38"/>
  <c r="G23" i="38"/>
  <c r="E23" i="38"/>
  <c r="D23" i="38"/>
  <c r="C23" i="38"/>
  <c r="R22" i="38"/>
  <c r="O22" i="38"/>
  <c r="L22" i="38"/>
  <c r="I22" i="38"/>
  <c r="H22" i="38"/>
  <c r="G22" i="38"/>
  <c r="E22" i="38"/>
  <c r="D22" i="38"/>
  <c r="C22" i="38"/>
  <c r="R21" i="38"/>
  <c r="O21" i="38"/>
  <c r="L21" i="38"/>
  <c r="I21" i="38"/>
  <c r="H21" i="38"/>
  <c r="G21" i="38"/>
  <c r="E21" i="38"/>
  <c r="D21" i="38"/>
  <c r="C21" i="38"/>
  <c r="O20" i="38"/>
  <c r="L20" i="38"/>
  <c r="I20" i="38"/>
  <c r="H20" i="38"/>
  <c r="G20" i="38"/>
  <c r="E20" i="38"/>
  <c r="D20" i="38"/>
  <c r="C20" i="38"/>
  <c r="O19" i="38"/>
  <c r="L19" i="38"/>
  <c r="I19" i="38"/>
  <c r="H19" i="38"/>
  <c r="G19" i="38"/>
  <c r="E19" i="38"/>
  <c r="D19" i="38"/>
  <c r="C19" i="38"/>
  <c r="O18" i="38"/>
  <c r="L18" i="38"/>
  <c r="I18" i="38"/>
  <c r="H18" i="38"/>
  <c r="G18" i="38"/>
  <c r="E18" i="38"/>
  <c r="D18" i="38"/>
  <c r="C18" i="38"/>
  <c r="R17" i="38"/>
  <c r="L17" i="38" s="1"/>
  <c r="H17" i="38"/>
  <c r="D17" i="38"/>
  <c r="O16" i="38"/>
  <c r="L16" i="38"/>
  <c r="L35" i="38" s="1"/>
  <c r="I16" i="38"/>
  <c r="H16" i="38"/>
  <c r="H35" i="38" s="1"/>
  <c r="G16" i="38"/>
  <c r="E16" i="38"/>
  <c r="D16" i="38"/>
  <c r="D35" i="38" s="1"/>
  <c r="C16" i="38"/>
  <c r="R13" i="38"/>
  <c r="O13" i="38"/>
  <c r="L13" i="38"/>
  <c r="N13" i="38" s="1"/>
  <c r="I13" i="38"/>
  <c r="H13" i="38"/>
  <c r="G13" i="38"/>
  <c r="J13" i="38" s="1"/>
  <c r="E13" i="38"/>
  <c r="D13" i="38"/>
  <c r="C13" i="38"/>
  <c r="F13" i="38" s="1"/>
  <c r="R12" i="38"/>
  <c r="O12" i="38"/>
  <c r="L12" i="38"/>
  <c r="N12" i="38" s="1"/>
  <c r="I12" i="38"/>
  <c r="H12" i="38"/>
  <c r="G12" i="38"/>
  <c r="J12" i="38" s="1"/>
  <c r="E12" i="38"/>
  <c r="D12" i="38"/>
  <c r="C12" i="38"/>
  <c r="F12" i="38" s="1"/>
  <c r="R11" i="38"/>
  <c r="R14" i="38" s="1"/>
  <c r="O11" i="38"/>
  <c r="L11" i="38"/>
  <c r="N11" i="38" s="1"/>
  <c r="I11" i="38"/>
  <c r="H11" i="38"/>
  <c r="G11" i="38"/>
  <c r="J11" i="38" s="1"/>
  <c r="E11" i="38"/>
  <c r="D11" i="38"/>
  <c r="C11" i="38"/>
  <c r="F11" i="38" s="1"/>
  <c r="O10" i="38"/>
  <c r="O14" i="38" s="1"/>
  <c r="L10" i="38"/>
  <c r="L14" i="38" s="1"/>
  <c r="J10" i="38"/>
  <c r="I10" i="38"/>
  <c r="I14" i="38" s="1"/>
  <c r="H10" i="38"/>
  <c r="H14" i="38" s="1"/>
  <c r="G10" i="38"/>
  <c r="G14" i="38" s="1"/>
  <c r="F10" i="38"/>
  <c r="E10" i="38"/>
  <c r="E14" i="38" s="1"/>
  <c r="D10" i="38"/>
  <c r="D14" i="38" s="1"/>
  <c r="C10" i="38"/>
  <c r="C14" i="38" s="1"/>
  <c r="N9" i="38"/>
  <c r="N32" i="38" s="1"/>
  <c r="J9" i="38"/>
  <c r="J34" i="38" s="1"/>
  <c r="F9" i="38"/>
  <c r="F34" i="38" s="1"/>
  <c r="L39" i="37"/>
  <c r="N39" i="37" s="1"/>
  <c r="H39" i="37"/>
  <c r="J39" i="37" s="1"/>
  <c r="E39" i="37"/>
  <c r="D39" i="37"/>
  <c r="F39" i="37" s="1"/>
  <c r="L34" i="37"/>
  <c r="H34" i="37"/>
  <c r="E34" i="37"/>
  <c r="D34" i="37"/>
  <c r="L33" i="37"/>
  <c r="H33" i="37"/>
  <c r="E33" i="37"/>
  <c r="D33" i="37"/>
  <c r="L32" i="37"/>
  <c r="H32" i="37"/>
  <c r="E32" i="37"/>
  <c r="D32" i="37"/>
  <c r="L31" i="37"/>
  <c r="H31" i="37"/>
  <c r="E31" i="37"/>
  <c r="D31" i="37"/>
  <c r="L30" i="37"/>
  <c r="H30" i="37"/>
  <c r="E30" i="37"/>
  <c r="D30" i="37"/>
  <c r="L29" i="37"/>
  <c r="H29" i="37"/>
  <c r="E29" i="37"/>
  <c r="D29" i="37"/>
  <c r="L28" i="37"/>
  <c r="H28" i="37"/>
  <c r="E28" i="37"/>
  <c r="D28" i="37"/>
  <c r="L27" i="37"/>
  <c r="H27" i="37"/>
  <c r="E27" i="37"/>
  <c r="D27" i="37"/>
  <c r="L26" i="37"/>
  <c r="H26" i="37"/>
  <c r="E26" i="37"/>
  <c r="D26" i="37"/>
  <c r="L25" i="37"/>
  <c r="H25" i="37"/>
  <c r="E25" i="37"/>
  <c r="D25" i="37"/>
  <c r="L24" i="37"/>
  <c r="H24" i="37"/>
  <c r="E24" i="37"/>
  <c r="D24" i="37"/>
  <c r="L23" i="37"/>
  <c r="H23" i="37"/>
  <c r="E23" i="37"/>
  <c r="D23" i="37"/>
  <c r="U22" i="37"/>
  <c r="N22" i="37" s="1"/>
  <c r="H22" i="37"/>
  <c r="D22" i="37"/>
  <c r="U21" i="37"/>
  <c r="N21" i="37" s="1"/>
  <c r="H21" i="37"/>
  <c r="D21" i="37"/>
  <c r="L20" i="37"/>
  <c r="H20" i="37"/>
  <c r="E20" i="37"/>
  <c r="D20" i="37"/>
  <c r="L19" i="37"/>
  <c r="H19" i="37"/>
  <c r="E19" i="37"/>
  <c r="D19" i="37"/>
  <c r="L18" i="37"/>
  <c r="H18" i="37"/>
  <c r="E18" i="37"/>
  <c r="D18" i="37"/>
  <c r="U17" i="37"/>
  <c r="N17" i="37" s="1"/>
  <c r="L17" i="37"/>
  <c r="H17" i="37"/>
  <c r="E17" i="37"/>
  <c r="D17" i="37"/>
  <c r="L16" i="37"/>
  <c r="H16" i="37"/>
  <c r="H35" i="37" s="1"/>
  <c r="E16" i="37"/>
  <c r="D16" i="37"/>
  <c r="D35" i="37" s="1"/>
  <c r="Q13" i="37"/>
  <c r="L13" i="37" s="1"/>
  <c r="N13" i="37" s="1"/>
  <c r="H13" i="37"/>
  <c r="J13" i="37" s="1"/>
  <c r="D13" i="37"/>
  <c r="Q12" i="37"/>
  <c r="L12" i="37" s="1"/>
  <c r="N12" i="37" s="1"/>
  <c r="J12" i="37"/>
  <c r="H12" i="37"/>
  <c r="D12" i="37"/>
  <c r="Q11" i="37"/>
  <c r="H11" i="37" s="1"/>
  <c r="J11" i="37" s="1"/>
  <c r="I11" i="37"/>
  <c r="E11" i="37"/>
  <c r="D11" i="37"/>
  <c r="F11" i="37" s="1"/>
  <c r="N10" i="37"/>
  <c r="L10" i="37"/>
  <c r="I10" i="37"/>
  <c r="J10" i="37" s="1"/>
  <c r="H10" i="37"/>
  <c r="H14" i="37" s="1"/>
  <c r="E10" i="37"/>
  <c r="D10" i="37"/>
  <c r="F10" i="37" s="1"/>
  <c r="N9" i="37"/>
  <c r="N31" i="37" s="1"/>
  <c r="J9" i="37"/>
  <c r="J33" i="37" s="1"/>
  <c r="F9" i="37"/>
  <c r="F31" i="37" s="1"/>
  <c r="J39" i="35"/>
  <c r="I39" i="35"/>
  <c r="H39" i="35"/>
  <c r="G39" i="35"/>
  <c r="F39" i="35"/>
  <c r="E39" i="35"/>
  <c r="D39" i="35"/>
  <c r="C39" i="35"/>
  <c r="I34" i="35"/>
  <c r="H34" i="35"/>
  <c r="G34" i="35"/>
  <c r="E34" i="35"/>
  <c r="D34" i="35"/>
  <c r="C34" i="35"/>
  <c r="I33" i="35"/>
  <c r="H33" i="35"/>
  <c r="G33" i="35"/>
  <c r="E33" i="35"/>
  <c r="D33" i="35"/>
  <c r="C33" i="35"/>
  <c r="I32" i="35"/>
  <c r="H32" i="35"/>
  <c r="G32" i="35"/>
  <c r="E32" i="35"/>
  <c r="D32" i="35"/>
  <c r="C32" i="35"/>
  <c r="I31" i="35"/>
  <c r="H31" i="35"/>
  <c r="G31" i="35"/>
  <c r="E31" i="35"/>
  <c r="D31" i="35"/>
  <c r="C31" i="35"/>
  <c r="I30" i="35"/>
  <c r="H30" i="35"/>
  <c r="G30" i="35"/>
  <c r="E30" i="35"/>
  <c r="D30" i="35"/>
  <c r="C30" i="35"/>
  <c r="J29" i="35"/>
  <c r="I29" i="35"/>
  <c r="H29" i="35"/>
  <c r="G29" i="35"/>
  <c r="F29" i="35"/>
  <c r="E29" i="35"/>
  <c r="D29" i="35"/>
  <c r="C29" i="35"/>
  <c r="J28" i="35"/>
  <c r="I28" i="35"/>
  <c r="H28" i="35"/>
  <c r="G28" i="35"/>
  <c r="F28" i="35"/>
  <c r="E28" i="35"/>
  <c r="D28" i="35"/>
  <c r="C28" i="35"/>
  <c r="J27" i="35"/>
  <c r="I27" i="35"/>
  <c r="H27" i="35"/>
  <c r="G27" i="35"/>
  <c r="F27" i="35"/>
  <c r="E27" i="35"/>
  <c r="D27" i="35"/>
  <c r="C27" i="35"/>
  <c r="J26" i="35"/>
  <c r="I26" i="35"/>
  <c r="H26" i="35"/>
  <c r="G26" i="35"/>
  <c r="F26" i="35"/>
  <c r="E26" i="35"/>
  <c r="D26" i="35"/>
  <c r="C26" i="35"/>
  <c r="J25" i="35"/>
  <c r="I25" i="35"/>
  <c r="H25" i="35"/>
  <c r="G25" i="35"/>
  <c r="F25" i="35"/>
  <c r="E25" i="35"/>
  <c r="D25" i="35"/>
  <c r="C25" i="35"/>
  <c r="J24" i="35"/>
  <c r="I24" i="35"/>
  <c r="H24" i="35"/>
  <c r="G24" i="35"/>
  <c r="F24" i="35"/>
  <c r="E24" i="35"/>
  <c r="D24" i="35"/>
  <c r="C24" i="35"/>
  <c r="J23" i="35"/>
  <c r="I23" i="35"/>
  <c r="H23" i="35"/>
  <c r="G23" i="35"/>
  <c r="F23" i="35"/>
  <c r="E23" i="35"/>
  <c r="D23" i="35"/>
  <c r="C23" i="35"/>
  <c r="T22" i="35"/>
  <c r="G22" i="35"/>
  <c r="T21" i="35"/>
  <c r="J21" i="35" s="1"/>
  <c r="H21" i="35"/>
  <c r="G21" i="35"/>
  <c r="D21" i="35"/>
  <c r="C21" i="35"/>
  <c r="I20" i="35"/>
  <c r="H20" i="35"/>
  <c r="G20" i="35"/>
  <c r="E20" i="35"/>
  <c r="D20" i="35"/>
  <c r="C20" i="35"/>
  <c r="I19" i="35"/>
  <c r="H19" i="35"/>
  <c r="G19" i="35"/>
  <c r="E19" i="35"/>
  <c r="D19" i="35"/>
  <c r="C19" i="35"/>
  <c r="I18" i="35"/>
  <c r="H18" i="35"/>
  <c r="G18" i="35"/>
  <c r="E18" i="35"/>
  <c r="D18" i="35"/>
  <c r="C18" i="35"/>
  <c r="T17" i="35"/>
  <c r="I17" i="35"/>
  <c r="H17" i="35"/>
  <c r="G17" i="35"/>
  <c r="E17" i="35"/>
  <c r="D17" i="35"/>
  <c r="C17" i="35"/>
  <c r="I16" i="35"/>
  <c r="H16" i="35"/>
  <c r="G16" i="35"/>
  <c r="E16" i="35"/>
  <c r="D16" i="35"/>
  <c r="C16" i="35"/>
  <c r="M14" i="35"/>
  <c r="P13" i="35"/>
  <c r="P12" i="35"/>
  <c r="H12" i="35"/>
  <c r="D12" i="35"/>
  <c r="P11" i="35"/>
  <c r="H11" i="35" s="1"/>
  <c r="I11" i="35"/>
  <c r="G11" i="35"/>
  <c r="E11" i="35"/>
  <c r="C11" i="35"/>
  <c r="I10" i="35"/>
  <c r="H10" i="35"/>
  <c r="G10" i="35"/>
  <c r="E10" i="35"/>
  <c r="D10" i="35"/>
  <c r="C10" i="35"/>
  <c r="J9" i="35"/>
  <c r="F9" i="35"/>
  <c r="P39" i="34"/>
  <c r="R39" i="34" s="1"/>
  <c r="L39" i="34"/>
  <c r="N39" i="34" s="1"/>
  <c r="I39" i="34"/>
  <c r="H39" i="34"/>
  <c r="G39" i="34"/>
  <c r="J39" i="34" s="1"/>
  <c r="E39" i="34"/>
  <c r="D39" i="34"/>
  <c r="C39" i="34"/>
  <c r="F39" i="34" s="1"/>
  <c r="G35" i="34"/>
  <c r="P34" i="34"/>
  <c r="L34" i="34"/>
  <c r="I34" i="34"/>
  <c r="H34" i="34"/>
  <c r="G34" i="34"/>
  <c r="E34" i="34"/>
  <c r="D34" i="34"/>
  <c r="C34" i="34"/>
  <c r="P33" i="34"/>
  <c r="L33" i="34"/>
  <c r="I33" i="34"/>
  <c r="H33" i="34"/>
  <c r="G33" i="34"/>
  <c r="E33" i="34"/>
  <c r="D33" i="34"/>
  <c r="C33" i="34"/>
  <c r="P32" i="34"/>
  <c r="L32" i="34"/>
  <c r="I32" i="34"/>
  <c r="H32" i="34"/>
  <c r="G32" i="34"/>
  <c r="E32" i="34"/>
  <c r="D32" i="34"/>
  <c r="C32" i="34"/>
  <c r="P31" i="34"/>
  <c r="L31" i="34"/>
  <c r="I31" i="34"/>
  <c r="H31" i="34"/>
  <c r="G31" i="34"/>
  <c r="E31" i="34"/>
  <c r="D31" i="34"/>
  <c r="C31" i="34"/>
  <c r="P30" i="34"/>
  <c r="L30" i="34"/>
  <c r="I30" i="34"/>
  <c r="H30" i="34"/>
  <c r="G30" i="34"/>
  <c r="E30" i="34"/>
  <c r="D30" i="34"/>
  <c r="C30" i="34"/>
  <c r="P29" i="34"/>
  <c r="L29" i="34"/>
  <c r="I29" i="34"/>
  <c r="H29" i="34"/>
  <c r="G29" i="34"/>
  <c r="E29" i="34"/>
  <c r="D29" i="34"/>
  <c r="C29" i="34"/>
  <c r="P28" i="34"/>
  <c r="L28" i="34"/>
  <c r="I28" i="34"/>
  <c r="H28" i="34"/>
  <c r="G28" i="34"/>
  <c r="E28" i="34"/>
  <c r="D28" i="34"/>
  <c r="C28" i="34"/>
  <c r="P27" i="34"/>
  <c r="L27" i="34"/>
  <c r="I27" i="34"/>
  <c r="H27" i="34"/>
  <c r="G27" i="34"/>
  <c r="E27" i="34"/>
  <c r="D27" i="34"/>
  <c r="C27" i="34"/>
  <c r="P26" i="34"/>
  <c r="L26" i="34"/>
  <c r="I26" i="34"/>
  <c r="H26" i="34"/>
  <c r="G26" i="34"/>
  <c r="E26" i="34"/>
  <c r="D26" i="34"/>
  <c r="C26" i="34"/>
  <c r="P25" i="34"/>
  <c r="L25" i="34"/>
  <c r="I25" i="34"/>
  <c r="H25" i="34"/>
  <c r="G25" i="34"/>
  <c r="E25" i="34"/>
  <c r="D25" i="34"/>
  <c r="C25" i="34"/>
  <c r="P24" i="34"/>
  <c r="L24" i="34"/>
  <c r="I24" i="34"/>
  <c r="H24" i="34"/>
  <c r="G24" i="34"/>
  <c r="E24" i="34"/>
  <c r="D24" i="34"/>
  <c r="C24" i="34"/>
  <c r="P23" i="34"/>
  <c r="L23" i="34"/>
  <c r="L35" i="34" s="1"/>
  <c r="L36" i="34" s="1"/>
  <c r="I23" i="34"/>
  <c r="H23" i="34"/>
  <c r="G23" i="34"/>
  <c r="E23" i="34"/>
  <c r="D23" i="34"/>
  <c r="C23" i="34"/>
  <c r="C35" i="34" s="1"/>
  <c r="U22" i="34"/>
  <c r="P22" i="34"/>
  <c r="N22" i="34"/>
  <c r="L22" i="34"/>
  <c r="I22" i="34"/>
  <c r="H22" i="34"/>
  <c r="G22" i="34"/>
  <c r="E22" i="34"/>
  <c r="D22" i="34"/>
  <c r="C22" i="34"/>
  <c r="U21" i="34"/>
  <c r="N21" i="34" s="1"/>
  <c r="P21" i="34"/>
  <c r="L21" i="34"/>
  <c r="I21" i="34"/>
  <c r="G21" i="34"/>
  <c r="E21" i="34"/>
  <c r="C21" i="34"/>
  <c r="P20" i="34"/>
  <c r="L20" i="34"/>
  <c r="I20" i="34"/>
  <c r="H20" i="34"/>
  <c r="G20" i="34"/>
  <c r="E20" i="34"/>
  <c r="D20" i="34"/>
  <c r="C20" i="34"/>
  <c r="P19" i="34"/>
  <c r="L19" i="34"/>
  <c r="I19" i="34"/>
  <c r="H19" i="34"/>
  <c r="G19" i="34"/>
  <c r="E19" i="34"/>
  <c r="D19" i="34"/>
  <c r="C19" i="34"/>
  <c r="P18" i="34"/>
  <c r="L18" i="34"/>
  <c r="I18" i="34"/>
  <c r="H18" i="34"/>
  <c r="G18" i="34"/>
  <c r="E18" i="34"/>
  <c r="D18" i="34"/>
  <c r="C18" i="34"/>
  <c r="U17" i="34"/>
  <c r="P17" i="34" s="1"/>
  <c r="R17" i="34"/>
  <c r="L17" i="34"/>
  <c r="H17" i="34"/>
  <c r="G17" i="34"/>
  <c r="D17" i="34"/>
  <c r="C17" i="34"/>
  <c r="R16" i="34"/>
  <c r="P16" i="34"/>
  <c r="L16" i="34"/>
  <c r="I16" i="34"/>
  <c r="H16" i="34"/>
  <c r="G16" i="34"/>
  <c r="E16" i="34"/>
  <c r="D16" i="34"/>
  <c r="C16" i="34"/>
  <c r="U14" i="34"/>
  <c r="U13" i="34"/>
  <c r="P13" i="34"/>
  <c r="R13" i="34" s="1"/>
  <c r="N13" i="34"/>
  <c r="L13" i="34"/>
  <c r="I13" i="34"/>
  <c r="H13" i="34"/>
  <c r="J13" i="34" s="1"/>
  <c r="G13" i="34"/>
  <c r="E13" i="34"/>
  <c r="D13" i="34"/>
  <c r="F13" i="34" s="1"/>
  <c r="C13" i="34"/>
  <c r="U12" i="34"/>
  <c r="H12" i="34" s="1"/>
  <c r="P12" i="34"/>
  <c r="R12" i="34" s="1"/>
  <c r="L12" i="34"/>
  <c r="N12" i="34" s="1"/>
  <c r="I12" i="34"/>
  <c r="G12" i="34"/>
  <c r="E12" i="34"/>
  <c r="C12" i="34"/>
  <c r="U11" i="34"/>
  <c r="P11" i="34" s="1"/>
  <c r="R11" i="34" s="1"/>
  <c r="L11" i="34"/>
  <c r="N11" i="34" s="1"/>
  <c r="H11" i="34"/>
  <c r="G11" i="34"/>
  <c r="D11" i="34"/>
  <c r="C11" i="34"/>
  <c r="R10" i="34"/>
  <c r="P10" i="34"/>
  <c r="N10" i="34"/>
  <c r="L10" i="34"/>
  <c r="L14" i="34" s="1"/>
  <c r="L38" i="34" s="1"/>
  <c r="N38" i="34" s="1"/>
  <c r="I10" i="34"/>
  <c r="H10" i="34"/>
  <c r="H14" i="34" s="1"/>
  <c r="G10" i="34"/>
  <c r="E10" i="34"/>
  <c r="D10" i="34"/>
  <c r="C10" i="34"/>
  <c r="R9" i="34"/>
  <c r="N9" i="34"/>
  <c r="N20" i="34" s="1"/>
  <c r="J9" i="34"/>
  <c r="F9" i="34"/>
  <c r="R39" i="33"/>
  <c r="P39" i="33"/>
  <c r="O39" i="33"/>
  <c r="N39" i="33"/>
  <c r="M39" i="33"/>
  <c r="K39" i="33"/>
  <c r="F39" i="33"/>
  <c r="E39" i="33"/>
  <c r="D39" i="33"/>
  <c r="C39" i="33"/>
  <c r="M34" i="33"/>
  <c r="Q33" i="33"/>
  <c r="C33" i="33"/>
  <c r="K32" i="33"/>
  <c r="N31" i="33"/>
  <c r="R30" i="33"/>
  <c r="D30" i="33"/>
  <c r="M29" i="33"/>
  <c r="O28" i="33"/>
  <c r="C28" i="33"/>
  <c r="E27" i="33"/>
  <c r="N26" i="33"/>
  <c r="P25" i="33"/>
  <c r="D25" i="33"/>
  <c r="F24" i="33"/>
  <c r="O23" i="33"/>
  <c r="Y22" i="33"/>
  <c r="R22" i="33"/>
  <c r="F22" i="33"/>
  <c r="Y21" i="33"/>
  <c r="O21" i="33"/>
  <c r="N21" i="33"/>
  <c r="E20" i="33"/>
  <c r="D20" i="33"/>
  <c r="P18" i="33"/>
  <c r="O18" i="33"/>
  <c r="Y17" i="33"/>
  <c r="K17" i="33"/>
  <c r="F17" i="33"/>
  <c r="U14" i="33"/>
  <c r="U13" i="33"/>
  <c r="M13" i="33"/>
  <c r="U12" i="33"/>
  <c r="M12" i="33"/>
  <c r="U11" i="33"/>
  <c r="X9" i="33"/>
  <c r="N34" i="33" s="1"/>
  <c r="Q9" i="33"/>
  <c r="M9" i="33"/>
  <c r="F9" i="33"/>
  <c r="U39" i="31"/>
  <c r="T39" i="31"/>
  <c r="S39" i="31"/>
  <c r="Q39" i="31"/>
  <c r="P39" i="31"/>
  <c r="O39" i="31"/>
  <c r="M39" i="31"/>
  <c r="L39" i="31"/>
  <c r="K39" i="31"/>
  <c r="N39" i="31" s="1"/>
  <c r="I39" i="31"/>
  <c r="H39" i="31"/>
  <c r="G39" i="31"/>
  <c r="E39" i="31"/>
  <c r="D39" i="31"/>
  <c r="C39" i="31"/>
  <c r="U34" i="31"/>
  <c r="T34" i="31"/>
  <c r="S34" i="31"/>
  <c r="Q34" i="31"/>
  <c r="P34" i="31"/>
  <c r="O34" i="31"/>
  <c r="M34" i="31"/>
  <c r="L34" i="31"/>
  <c r="K34" i="31"/>
  <c r="I34" i="31"/>
  <c r="H34" i="31"/>
  <c r="G34" i="31"/>
  <c r="E34" i="31"/>
  <c r="D34" i="31"/>
  <c r="C34" i="31"/>
  <c r="U33" i="31"/>
  <c r="T33" i="31"/>
  <c r="S33" i="31"/>
  <c r="Q33" i="31"/>
  <c r="P33" i="31"/>
  <c r="O33" i="31"/>
  <c r="M33" i="31"/>
  <c r="L33" i="31"/>
  <c r="K33" i="31"/>
  <c r="I33" i="31"/>
  <c r="H33" i="31"/>
  <c r="G33" i="31"/>
  <c r="E33" i="31"/>
  <c r="D33" i="31"/>
  <c r="C33" i="31"/>
  <c r="U32" i="31"/>
  <c r="T32" i="31"/>
  <c r="S32" i="31"/>
  <c r="Q32" i="31"/>
  <c r="P32" i="31"/>
  <c r="O32" i="31"/>
  <c r="M32" i="31"/>
  <c r="L32" i="31"/>
  <c r="K32" i="31"/>
  <c r="I32" i="31"/>
  <c r="H32" i="31"/>
  <c r="G32" i="31"/>
  <c r="E32" i="31"/>
  <c r="D32" i="31"/>
  <c r="C32" i="31"/>
  <c r="U31" i="31"/>
  <c r="T31" i="31"/>
  <c r="S31" i="31"/>
  <c r="Q31" i="31"/>
  <c r="P31" i="31"/>
  <c r="O31" i="31"/>
  <c r="M31" i="31"/>
  <c r="L31" i="31"/>
  <c r="K31" i="31"/>
  <c r="I31" i="31"/>
  <c r="H31" i="31"/>
  <c r="G31" i="31"/>
  <c r="E31" i="31"/>
  <c r="D31" i="31"/>
  <c r="C31" i="31"/>
  <c r="U30" i="31"/>
  <c r="T30" i="31"/>
  <c r="S30" i="31"/>
  <c r="Q30" i="31"/>
  <c r="P30" i="31"/>
  <c r="O30" i="31"/>
  <c r="M30" i="31"/>
  <c r="L30" i="31"/>
  <c r="K30" i="31"/>
  <c r="I30" i="31"/>
  <c r="H30" i="31"/>
  <c r="G30" i="31"/>
  <c r="E30" i="31"/>
  <c r="D30" i="31"/>
  <c r="C30" i="31"/>
  <c r="U29" i="31"/>
  <c r="T29" i="31"/>
  <c r="S29" i="31"/>
  <c r="Q29" i="31"/>
  <c r="P29" i="31"/>
  <c r="O29" i="31"/>
  <c r="M29" i="31"/>
  <c r="L29" i="31"/>
  <c r="K29" i="31"/>
  <c r="I29" i="31"/>
  <c r="H29" i="31"/>
  <c r="G29" i="31"/>
  <c r="E29" i="31"/>
  <c r="D29" i="31"/>
  <c r="C29" i="31"/>
  <c r="U28" i="31"/>
  <c r="T28" i="31"/>
  <c r="S28" i="31"/>
  <c r="Q28" i="31"/>
  <c r="P28" i="31"/>
  <c r="O28" i="31"/>
  <c r="M28" i="31"/>
  <c r="L28" i="31"/>
  <c r="K28" i="31"/>
  <c r="I28" i="31"/>
  <c r="H28" i="31"/>
  <c r="G28" i="31"/>
  <c r="E28" i="31"/>
  <c r="D28" i="31"/>
  <c r="C28" i="31"/>
  <c r="U27" i="31"/>
  <c r="T27" i="31"/>
  <c r="S27" i="31"/>
  <c r="Q27" i="31"/>
  <c r="P27" i="31"/>
  <c r="O27" i="31"/>
  <c r="M27" i="31"/>
  <c r="L27" i="31"/>
  <c r="K27" i="31"/>
  <c r="I27" i="31"/>
  <c r="H27" i="31"/>
  <c r="G27" i="31"/>
  <c r="E27" i="31"/>
  <c r="D27" i="31"/>
  <c r="C27" i="31"/>
  <c r="U26" i="31"/>
  <c r="T26" i="31"/>
  <c r="S26" i="31"/>
  <c r="Q26" i="31"/>
  <c r="P26" i="31"/>
  <c r="O26" i="31"/>
  <c r="M26" i="31"/>
  <c r="L26" i="31"/>
  <c r="K26" i="31"/>
  <c r="I26" i="31"/>
  <c r="H26" i="31"/>
  <c r="G26" i="31"/>
  <c r="E26" i="31"/>
  <c r="D26" i="31"/>
  <c r="C26" i="31"/>
  <c r="U25" i="31"/>
  <c r="T25" i="31"/>
  <c r="S25" i="31"/>
  <c r="Q25" i="31"/>
  <c r="P25" i="31"/>
  <c r="O25" i="31"/>
  <c r="M25" i="31"/>
  <c r="L25" i="31"/>
  <c r="K25" i="31"/>
  <c r="I25" i="31"/>
  <c r="H25" i="31"/>
  <c r="G25" i="31"/>
  <c r="E25" i="31"/>
  <c r="D25" i="31"/>
  <c r="C25" i="31"/>
  <c r="U24" i="31"/>
  <c r="T24" i="31"/>
  <c r="S24" i="31"/>
  <c r="Q24" i="31"/>
  <c r="P24" i="31"/>
  <c r="O24" i="31"/>
  <c r="M24" i="31"/>
  <c r="L24" i="31"/>
  <c r="K24" i="31"/>
  <c r="I24" i="31"/>
  <c r="H24" i="31"/>
  <c r="G24" i="31"/>
  <c r="E24" i="31"/>
  <c r="D24" i="31"/>
  <c r="C24" i="31"/>
  <c r="U23" i="31"/>
  <c r="T23" i="31"/>
  <c r="S23" i="31"/>
  <c r="Q23" i="31"/>
  <c r="P23" i="31"/>
  <c r="O23" i="31"/>
  <c r="M23" i="31"/>
  <c r="L23" i="31"/>
  <c r="K23" i="31"/>
  <c r="I23" i="31"/>
  <c r="H23" i="31"/>
  <c r="G23" i="31"/>
  <c r="E23" i="31"/>
  <c r="D23" i="31"/>
  <c r="C23" i="31"/>
  <c r="AH22" i="31"/>
  <c r="U22" i="31"/>
  <c r="T22" i="31"/>
  <c r="S22" i="31"/>
  <c r="Q22" i="31"/>
  <c r="P22" i="31"/>
  <c r="O22" i="31"/>
  <c r="M22" i="31"/>
  <c r="L22" i="31"/>
  <c r="K22" i="31"/>
  <c r="I22" i="31"/>
  <c r="H22" i="31"/>
  <c r="G22" i="31"/>
  <c r="E22" i="31"/>
  <c r="D22" i="31"/>
  <c r="C22" i="31"/>
  <c r="AH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C19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AH17" i="31"/>
  <c r="M17" i="31" s="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Y13" i="31"/>
  <c r="Y14" i="31" s="1"/>
  <c r="Y12" i="31"/>
  <c r="U12" i="31"/>
  <c r="K12" i="31" s="1"/>
  <c r="T12" i="31"/>
  <c r="Q12" i="31"/>
  <c r="M12" i="31"/>
  <c r="L12" i="31"/>
  <c r="I12" i="31"/>
  <c r="E12" i="31"/>
  <c r="D12" i="31"/>
  <c r="Y11" i="31"/>
  <c r="U11" i="31"/>
  <c r="Q11" i="31"/>
  <c r="M11" i="31"/>
  <c r="E11" i="31"/>
  <c r="U10" i="31"/>
  <c r="Q10" i="31"/>
  <c r="M10" i="31"/>
  <c r="I10" i="31"/>
  <c r="E10" i="31"/>
  <c r="X9" i="31"/>
  <c r="V9" i="31"/>
  <c r="R9" i="31"/>
  <c r="R23" i="31" s="1"/>
  <c r="N9" i="31"/>
  <c r="J9" i="31"/>
  <c r="F9" i="31"/>
  <c r="I39" i="30"/>
  <c r="H39" i="30"/>
  <c r="G39" i="30"/>
  <c r="E39" i="30"/>
  <c r="D39" i="30"/>
  <c r="C39" i="30"/>
  <c r="I34" i="30"/>
  <c r="H34" i="30"/>
  <c r="G34" i="30"/>
  <c r="E34" i="30"/>
  <c r="D34" i="30"/>
  <c r="C34" i="30"/>
  <c r="I33" i="30"/>
  <c r="H33" i="30"/>
  <c r="G33" i="30"/>
  <c r="E33" i="30"/>
  <c r="D33" i="30"/>
  <c r="C33" i="30"/>
  <c r="I32" i="30"/>
  <c r="H32" i="30"/>
  <c r="G32" i="30"/>
  <c r="E32" i="30"/>
  <c r="D32" i="30"/>
  <c r="C32" i="30"/>
  <c r="I31" i="30"/>
  <c r="H31" i="30"/>
  <c r="G31" i="30"/>
  <c r="E31" i="30"/>
  <c r="D31" i="30"/>
  <c r="C31" i="30"/>
  <c r="I30" i="30"/>
  <c r="H30" i="30"/>
  <c r="G30" i="30"/>
  <c r="E30" i="30"/>
  <c r="D30" i="30"/>
  <c r="C30" i="30"/>
  <c r="I29" i="30"/>
  <c r="H29" i="30"/>
  <c r="G29" i="30"/>
  <c r="E29" i="30"/>
  <c r="D29" i="30"/>
  <c r="C29" i="30"/>
  <c r="I28" i="30"/>
  <c r="H28" i="30"/>
  <c r="G28" i="30"/>
  <c r="E28" i="30"/>
  <c r="D28" i="30"/>
  <c r="C28" i="30"/>
  <c r="I27" i="30"/>
  <c r="H27" i="30"/>
  <c r="G27" i="30"/>
  <c r="E27" i="30"/>
  <c r="D27" i="30"/>
  <c r="C27" i="30"/>
  <c r="I26" i="30"/>
  <c r="H26" i="30"/>
  <c r="G26" i="30"/>
  <c r="E26" i="30"/>
  <c r="D26" i="30"/>
  <c r="C26" i="30"/>
  <c r="I25" i="30"/>
  <c r="H25" i="30"/>
  <c r="G25" i="30"/>
  <c r="E25" i="30"/>
  <c r="D25" i="30"/>
  <c r="C25" i="30"/>
  <c r="I24" i="30"/>
  <c r="H24" i="30"/>
  <c r="G24" i="30"/>
  <c r="E24" i="30"/>
  <c r="D24" i="30"/>
  <c r="C24" i="30"/>
  <c r="I23" i="30"/>
  <c r="H23" i="30"/>
  <c r="G23" i="30"/>
  <c r="E23" i="30"/>
  <c r="D23" i="30"/>
  <c r="C23" i="30"/>
  <c r="C35" i="30" s="1"/>
  <c r="V22" i="30"/>
  <c r="I22" i="30"/>
  <c r="H22" i="30"/>
  <c r="G22" i="30"/>
  <c r="E22" i="30"/>
  <c r="D22" i="30"/>
  <c r="C22" i="30"/>
  <c r="V21" i="30"/>
  <c r="I21" i="30"/>
  <c r="H21" i="30"/>
  <c r="G21" i="30"/>
  <c r="E21" i="30"/>
  <c r="D21" i="30"/>
  <c r="C21" i="30"/>
  <c r="I20" i="30"/>
  <c r="H20" i="30"/>
  <c r="G20" i="30"/>
  <c r="E20" i="30"/>
  <c r="D20" i="30"/>
  <c r="C20" i="30"/>
  <c r="I19" i="30"/>
  <c r="H19" i="30"/>
  <c r="G19" i="30"/>
  <c r="E19" i="30"/>
  <c r="D19" i="30"/>
  <c r="C19" i="30"/>
  <c r="I18" i="30"/>
  <c r="H18" i="30"/>
  <c r="G18" i="30"/>
  <c r="E18" i="30"/>
  <c r="D18" i="30"/>
  <c r="C18" i="30"/>
  <c r="V17" i="30"/>
  <c r="J17" i="30"/>
  <c r="G17" i="30"/>
  <c r="G35" i="30" s="1"/>
  <c r="F17" i="30"/>
  <c r="C17" i="30"/>
  <c r="J16" i="30"/>
  <c r="I16" i="30"/>
  <c r="H16" i="30"/>
  <c r="G16" i="30"/>
  <c r="F16" i="30"/>
  <c r="E16" i="30"/>
  <c r="D16" i="30"/>
  <c r="C16" i="30"/>
  <c r="M14" i="30"/>
  <c r="M13" i="30"/>
  <c r="I13" i="30"/>
  <c r="H13" i="30"/>
  <c r="G13" i="30"/>
  <c r="E13" i="30"/>
  <c r="D13" i="30"/>
  <c r="C13" i="30"/>
  <c r="F13" i="30" s="1"/>
  <c r="M12" i="30"/>
  <c r="I12" i="30"/>
  <c r="H12" i="30"/>
  <c r="J12" i="30" s="1"/>
  <c r="G12" i="30"/>
  <c r="E12" i="30"/>
  <c r="D12" i="30"/>
  <c r="F12" i="30" s="1"/>
  <c r="C12" i="30"/>
  <c r="M11" i="30"/>
  <c r="I11" i="30"/>
  <c r="G11" i="30"/>
  <c r="E11" i="30"/>
  <c r="C11" i="30"/>
  <c r="I10" i="30"/>
  <c r="H10" i="30"/>
  <c r="G10" i="30"/>
  <c r="E10" i="30"/>
  <c r="D10" i="30"/>
  <c r="C10" i="30"/>
  <c r="J9" i="30"/>
  <c r="J21" i="30" s="1"/>
  <c r="F9" i="30"/>
  <c r="I39" i="29"/>
  <c r="H39" i="29"/>
  <c r="G39" i="29"/>
  <c r="E39" i="29"/>
  <c r="D39" i="29"/>
  <c r="C39" i="29"/>
  <c r="F39" i="29" s="1"/>
  <c r="I34" i="29"/>
  <c r="H34" i="29"/>
  <c r="G34" i="29"/>
  <c r="E34" i="29"/>
  <c r="D34" i="29"/>
  <c r="C34" i="29"/>
  <c r="I33" i="29"/>
  <c r="H33" i="29"/>
  <c r="G33" i="29"/>
  <c r="E33" i="29"/>
  <c r="D33" i="29"/>
  <c r="C33" i="29"/>
  <c r="I32" i="29"/>
  <c r="H32" i="29"/>
  <c r="G32" i="29"/>
  <c r="E32" i="29"/>
  <c r="D32" i="29"/>
  <c r="C32" i="29"/>
  <c r="I31" i="29"/>
  <c r="H31" i="29"/>
  <c r="G31" i="29"/>
  <c r="E31" i="29"/>
  <c r="D31" i="29"/>
  <c r="C31" i="29"/>
  <c r="I30" i="29"/>
  <c r="H30" i="29"/>
  <c r="G30" i="29"/>
  <c r="E30" i="29"/>
  <c r="D30" i="29"/>
  <c r="C30" i="29"/>
  <c r="I29" i="29"/>
  <c r="H29" i="29"/>
  <c r="G29" i="29"/>
  <c r="E29" i="29"/>
  <c r="D29" i="29"/>
  <c r="C29" i="29"/>
  <c r="I28" i="29"/>
  <c r="H28" i="29"/>
  <c r="G28" i="29"/>
  <c r="E28" i="29"/>
  <c r="D28" i="29"/>
  <c r="C28" i="29"/>
  <c r="I27" i="29"/>
  <c r="H27" i="29"/>
  <c r="G27" i="29"/>
  <c r="E27" i="29"/>
  <c r="D27" i="29"/>
  <c r="C27" i="29"/>
  <c r="I26" i="29"/>
  <c r="H26" i="29"/>
  <c r="G26" i="29"/>
  <c r="E26" i="29"/>
  <c r="D26" i="29"/>
  <c r="C26" i="29"/>
  <c r="I25" i="29"/>
  <c r="H25" i="29"/>
  <c r="G25" i="29"/>
  <c r="E25" i="29"/>
  <c r="D25" i="29"/>
  <c r="C25" i="29"/>
  <c r="I24" i="29"/>
  <c r="H24" i="29"/>
  <c r="G24" i="29"/>
  <c r="E24" i="29"/>
  <c r="D24" i="29"/>
  <c r="C24" i="29"/>
  <c r="I23" i="29"/>
  <c r="H23" i="29"/>
  <c r="G23" i="29"/>
  <c r="E23" i="29"/>
  <c r="D23" i="29"/>
  <c r="C23" i="29"/>
  <c r="U22" i="29"/>
  <c r="I22" i="29"/>
  <c r="H22" i="29"/>
  <c r="G22" i="29"/>
  <c r="F22" i="29"/>
  <c r="E22" i="29"/>
  <c r="D22" i="29"/>
  <c r="C22" i="29"/>
  <c r="U21" i="29"/>
  <c r="F21" i="29" s="1"/>
  <c r="I20" i="29"/>
  <c r="H20" i="29"/>
  <c r="G20" i="29"/>
  <c r="F20" i="29"/>
  <c r="E20" i="29"/>
  <c r="D20" i="29"/>
  <c r="C20" i="29"/>
  <c r="I19" i="29"/>
  <c r="H19" i="29"/>
  <c r="G19" i="29"/>
  <c r="F19" i="29"/>
  <c r="E19" i="29"/>
  <c r="D19" i="29"/>
  <c r="C19" i="29"/>
  <c r="I18" i="29"/>
  <c r="H18" i="29"/>
  <c r="G18" i="29"/>
  <c r="F18" i="29"/>
  <c r="E18" i="29"/>
  <c r="D18" i="29"/>
  <c r="C18" i="29"/>
  <c r="U17" i="29"/>
  <c r="F17" i="29"/>
  <c r="D17" i="29"/>
  <c r="I16" i="29"/>
  <c r="H16" i="29"/>
  <c r="G16" i="29"/>
  <c r="F16" i="29"/>
  <c r="E16" i="29"/>
  <c r="D16" i="29"/>
  <c r="C16" i="29"/>
  <c r="M13" i="29"/>
  <c r="I13" i="29"/>
  <c r="H13" i="29"/>
  <c r="J13" i="29" s="1"/>
  <c r="G13" i="29"/>
  <c r="E13" i="29"/>
  <c r="D13" i="29"/>
  <c r="F13" i="29" s="1"/>
  <c r="C13" i="29"/>
  <c r="M12" i="29"/>
  <c r="I12" i="29"/>
  <c r="G12" i="29"/>
  <c r="E12" i="29"/>
  <c r="C12" i="29"/>
  <c r="M11" i="29"/>
  <c r="M14" i="29" s="1"/>
  <c r="H11" i="29"/>
  <c r="G11" i="29"/>
  <c r="C11" i="29"/>
  <c r="J10" i="29"/>
  <c r="I10" i="29"/>
  <c r="H10" i="29"/>
  <c r="G10" i="29"/>
  <c r="G14" i="29" s="1"/>
  <c r="F10" i="29"/>
  <c r="E10" i="29"/>
  <c r="D10" i="29"/>
  <c r="C10" i="29"/>
  <c r="J9" i="29"/>
  <c r="F9" i="29"/>
  <c r="F34" i="29" s="1"/>
  <c r="E39" i="39"/>
  <c r="D39" i="39"/>
  <c r="F39" i="39" s="1"/>
  <c r="C39" i="39"/>
  <c r="F34" i="39"/>
  <c r="E34" i="39"/>
  <c r="D34" i="39"/>
  <c r="C34" i="39"/>
  <c r="F33" i="39"/>
  <c r="E33" i="39"/>
  <c r="D33" i="39"/>
  <c r="C33" i="39"/>
  <c r="F32" i="39"/>
  <c r="E32" i="39"/>
  <c r="D32" i="39"/>
  <c r="C32" i="39"/>
  <c r="F31" i="39"/>
  <c r="E31" i="39"/>
  <c r="D31" i="39"/>
  <c r="C31" i="39"/>
  <c r="F30" i="39"/>
  <c r="E30" i="39"/>
  <c r="D30" i="39"/>
  <c r="C30" i="39"/>
  <c r="F29" i="39"/>
  <c r="E29" i="39"/>
  <c r="D29" i="39"/>
  <c r="C29" i="39"/>
  <c r="F28" i="39"/>
  <c r="E28" i="39"/>
  <c r="D28" i="39"/>
  <c r="C28" i="39"/>
  <c r="F27" i="39"/>
  <c r="E27" i="39"/>
  <c r="D27" i="39"/>
  <c r="C27" i="39"/>
  <c r="F26" i="39"/>
  <c r="E26" i="39"/>
  <c r="D26" i="39"/>
  <c r="C26" i="39"/>
  <c r="F25" i="39"/>
  <c r="E25" i="39"/>
  <c r="D25" i="39"/>
  <c r="C25" i="39"/>
  <c r="F24" i="39"/>
  <c r="E24" i="39"/>
  <c r="D24" i="39"/>
  <c r="C24" i="39"/>
  <c r="F23" i="39"/>
  <c r="E23" i="39"/>
  <c r="D23" i="39"/>
  <c r="C23" i="39"/>
  <c r="V22" i="39"/>
  <c r="D22" i="39" s="1"/>
  <c r="F22" i="39"/>
  <c r="V21" i="39"/>
  <c r="E21" i="39" s="1"/>
  <c r="F21" i="39"/>
  <c r="F35" i="39" s="1"/>
  <c r="F20" i="39"/>
  <c r="E20" i="39"/>
  <c r="D20" i="39"/>
  <c r="C20" i="39"/>
  <c r="F19" i="39"/>
  <c r="E19" i="39"/>
  <c r="D19" i="39"/>
  <c r="C19" i="39"/>
  <c r="F18" i="39"/>
  <c r="E18" i="39"/>
  <c r="D18" i="39"/>
  <c r="C18" i="39"/>
  <c r="V17" i="39"/>
  <c r="F17" i="39" s="1"/>
  <c r="E17" i="39"/>
  <c r="E16" i="39"/>
  <c r="D16" i="39"/>
  <c r="C16" i="39"/>
  <c r="D14" i="39"/>
  <c r="D38" i="39" s="1"/>
  <c r="I13" i="39"/>
  <c r="D13" i="39" s="1"/>
  <c r="E13" i="39"/>
  <c r="C13" i="39"/>
  <c r="F13" i="39" s="1"/>
  <c r="I12" i="39"/>
  <c r="E12" i="39" s="1"/>
  <c r="D12" i="39"/>
  <c r="C12" i="39"/>
  <c r="F12" i="39" s="1"/>
  <c r="I11" i="39"/>
  <c r="I14" i="39" s="1"/>
  <c r="D11" i="39"/>
  <c r="C11" i="39"/>
  <c r="E10" i="39"/>
  <c r="D10" i="39"/>
  <c r="C10" i="39"/>
  <c r="F9" i="39"/>
  <c r="F16" i="39" s="1"/>
  <c r="E39" i="28"/>
  <c r="D39" i="28"/>
  <c r="F39" i="28" s="1"/>
  <c r="C39" i="28"/>
  <c r="E34" i="28"/>
  <c r="D34" i="28"/>
  <c r="C34" i="28"/>
  <c r="E33" i="28"/>
  <c r="D33" i="28"/>
  <c r="C33" i="28"/>
  <c r="E32" i="28"/>
  <c r="D32" i="28"/>
  <c r="C32" i="28"/>
  <c r="E31" i="28"/>
  <c r="D31" i="28"/>
  <c r="C31" i="28"/>
  <c r="E30" i="28"/>
  <c r="D30" i="28"/>
  <c r="C30" i="28"/>
  <c r="E29" i="28"/>
  <c r="D29" i="28"/>
  <c r="C29" i="28"/>
  <c r="E28" i="28"/>
  <c r="D28" i="28"/>
  <c r="C28" i="28"/>
  <c r="E27" i="28"/>
  <c r="D27" i="28"/>
  <c r="C27" i="28"/>
  <c r="E26" i="28"/>
  <c r="D26" i="28"/>
  <c r="C26" i="28"/>
  <c r="E25" i="28"/>
  <c r="D25" i="28"/>
  <c r="C25" i="28"/>
  <c r="E24" i="28"/>
  <c r="D24" i="28"/>
  <c r="C24" i="28"/>
  <c r="E23" i="28"/>
  <c r="D23" i="28"/>
  <c r="C23" i="28"/>
  <c r="V22" i="28"/>
  <c r="D22" i="28" s="1"/>
  <c r="E22" i="28"/>
  <c r="E35" i="28" s="1"/>
  <c r="C22" i="28"/>
  <c r="V21" i="28"/>
  <c r="E21" i="28" s="1"/>
  <c r="D21" i="28"/>
  <c r="C21" i="28"/>
  <c r="E20" i="28"/>
  <c r="D20" i="28"/>
  <c r="C20" i="28"/>
  <c r="E19" i="28"/>
  <c r="D19" i="28"/>
  <c r="C19" i="28"/>
  <c r="E18" i="28"/>
  <c r="D18" i="28"/>
  <c r="C18" i="28"/>
  <c r="V17" i="28"/>
  <c r="E17" i="28"/>
  <c r="D17" i="28"/>
  <c r="C17" i="28"/>
  <c r="E16" i="28"/>
  <c r="D16" i="28"/>
  <c r="D35" i="28" s="1"/>
  <c r="C16" i="28"/>
  <c r="C35" i="28" s="1"/>
  <c r="I13" i="28"/>
  <c r="C13" i="28"/>
  <c r="I12" i="28"/>
  <c r="E12" i="28"/>
  <c r="D12" i="28"/>
  <c r="C12" i="28"/>
  <c r="F12" i="28" s="1"/>
  <c r="I11" i="28"/>
  <c r="E11" i="28"/>
  <c r="F11" i="28" s="1"/>
  <c r="D11" i="28"/>
  <c r="C11" i="28"/>
  <c r="E10" i="28"/>
  <c r="D10" i="28"/>
  <c r="C10" i="28"/>
  <c r="F9" i="28"/>
  <c r="F16" i="28" s="1"/>
  <c r="N39" i="27"/>
  <c r="M39" i="27"/>
  <c r="L39" i="27"/>
  <c r="K39" i="27"/>
  <c r="J39" i="27"/>
  <c r="I39" i="27"/>
  <c r="H39" i="27"/>
  <c r="G39" i="27"/>
  <c r="F39" i="27"/>
  <c r="E39" i="27"/>
  <c r="D39" i="27"/>
  <c r="C39" i="27"/>
  <c r="N34" i="27"/>
  <c r="M34" i="27"/>
  <c r="L34" i="27"/>
  <c r="K34" i="27"/>
  <c r="I34" i="27"/>
  <c r="H34" i="27"/>
  <c r="G34" i="27"/>
  <c r="F34" i="27"/>
  <c r="E34" i="27"/>
  <c r="D34" i="27"/>
  <c r="C34" i="27"/>
  <c r="N33" i="27"/>
  <c r="M33" i="27"/>
  <c r="L33" i="27"/>
  <c r="K33" i="27"/>
  <c r="I33" i="27"/>
  <c r="H33" i="27"/>
  <c r="G33" i="27"/>
  <c r="F33" i="27"/>
  <c r="E33" i="27"/>
  <c r="D33" i="27"/>
  <c r="C33" i="27"/>
  <c r="N32" i="27"/>
  <c r="M32" i="27"/>
  <c r="L32" i="27"/>
  <c r="K32" i="27"/>
  <c r="I32" i="27"/>
  <c r="H32" i="27"/>
  <c r="G32" i="27"/>
  <c r="F32" i="27"/>
  <c r="E32" i="27"/>
  <c r="D32" i="27"/>
  <c r="C32" i="27"/>
  <c r="N31" i="27"/>
  <c r="M31" i="27"/>
  <c r="L31" i="27"/>
  <c r="K31" i="27"/>
  <c r="I31" i="27"/>
  <c r="H31" i="27"/>
  <c r="G31" i="27"/>
  <c r="F31" i="27"/>
  <c r="E31" i="27"/>
  <c r="D31" i="27"/>
  <c r="C31" i="27"/>
  <c r="N30" i="27"/>
  <c r="M30" i="27"/>
  <c r="L30" i="27"/>
  <c r="K30" i="27"/>
  <c r="I30" i="27"/>
  <c r="H30" i="27"/>
  <c r="G30" i="27"/>
  <c r="F30" i="27"/>
  <c r="E30" i="27"/>
  <c r="D30" i="27"/>
  <c r="C30" i="27"/>
  <c r="N29" i="27"/>
  <c r="M29" i="27"/>
  <c r="L29" i="27"/>
  <c r="K29" i="27"/>
  <c r="I29" i="27"/>
  <c r="H29" i="27"/>
  <c r="G29" i="27"/>
  <c r="F29" i="27"/>
  <c r="E29" i="27"/>
  <c r="D29" i="27"/>
  <c r="C29" i="27"/>
  <c r="N28" i="27"/>
  <c r="M28" i="27"/>
  <c r="L28" i="27"/>
  <c r="K28" i="27"/>
  <c r="I28" i="27"/>
  <c r="H28" i="27"/>
  <c r="G28" i="27"/>
  <c r="F28" i="27"/>
  <c r="E28" i="27"/>
  <c r="D28" i="27"/>
  <c r="C28" i="27"/>
  <c r="N27" i="27"/>
  <c r="M27" i="27"/>
  <c r="L27" i="27"/>
  <c r="K27" i="27"/>
  <c r="I27" i="27"/>
  <c r="H27" i="27"/>
  <c r="G27" i="27"/>
  <c r="F27" i="27"/>
  <c r="E27" i="27"/>
  <c r="D27" i="27"/>
  <c r="C27" i="27"/>
  <c r="N26" i="27"/>
  <c r="M26" i="27"/>
  <c r="L26" i="27"/>
  <c r="K26" i="27"/>
  <c r="I26" i="27"/>
  <c r="H26" i="27"/>
  <c r="G26" i="27"/>
  <c r="F26" i="27"/>
  <c r="E26" i="27"/>
  <c r="D26" i="27"/>
  <c r="C26" i="27"/>
  <c r="N25" i="27"/>
  <c r="M25" i="27"/>
  <c r="L25" i="27"/>
  <c r="K25" i="27"/>
  <c r="I25" i="27"/>
  <c r="H25" i="27"/>
  <c r="G25" i="27"/>
  <c r="F25" i="27"/>
  <c r="E25" i="27"/>
  <c r="D25" i="27"/>
  <c r="C25" i="27"/>
  <c r="N24" i="27"/>
  <c r="M24" i="27"/>
  <c r="L24" i="27"/>
  <c r="K24" i="27"/>
  <c r="I24" i="27"/>
  <c r="H24" i="27"/>
  <c r="G24" i="27"/>
  <c r="F24" i="27"/>
  <c r="E24" i="27"/>
  <c r="D24" i="27"/>
  <c r="C24" i="27"/>
  <c r="N23" i="27"/>
  <c r="M23" i="27"/>
  <c r="L23" i="27"/>
  <c r="K23" i="27"/>
  <c r="I23" i="27"/>
  <c r="H23" i="27"/>
  <c r="G23" i="27"/>
  <c r="F23" i="27"/>
  <c r="E23" i="27"/>
  <c r="D23" i="27"/>
  <c r="C23" i="27"/>
  <c r="U22" i="27"/>
  <c r="K22" i="27" s="1"/>
  <c r="K35" i="27" s="1"/>
  <c r="C22" i="27"/>
  <c r="C35" i="27" s="1"/>
  <c r="U21" i="27"/>
  <c r="N21" i="27" s="1"/>
  <c r="M21" i="27"/>
  <c r="L21" i="27"/>
  <c r="K21" i="27"/>
  <c r="I21" i="27"/>
  <c r="H21" i="27"/>
  <c r="G21" i="27"/>
  <c r="E21" i="27"/>
  <c r="D21" i="27"/>
  <c r="C21" i="27"/>
  <c r="M20" i="27"/>
  <c r="L20" i="27"/>
  <c r="K20" i="27"/>
  <c r="I20" i="27"/>
  <c r="H20" i="27"/>
  <c r="G20" i="27"/>
  <c r="E20" i="27"/>
  <c r="D20" i="27"/>
  <c r="C20" i="27"/>
  <c r="M19" i="27"/>
  <c r="L19" i="27"/>
  <c r="K19" i="27"/>
  <c r="I19" i="27"/>
  <c r="H19" i="27"/>
  <c r="G19" i="27"/>
  <c r="E19" i="27"/>
  <c r="D19" i="27"/>
  <c r="C19" i="27"/>
  <c r="M18" i="27"/>
  <c r="L18" i="27"/>
  <c r="K18" i="27"/>
  <c r="I18" i="27"/>
  <c r="H18" i="27"/>
  <c r="G18" i="27"/>
  <c r="E18" i="27"/>
  <c r="D18" i="27"/>
  <c r="C18" i="27"/>
  <c r="U17" i="27"/>
  <c r="M17" i="27"/>
  <c r="L17" i="27"/>
  <c r="K17" i="27"/>
  <c r="I17" i="27"/>
  <c r="H17" i="27"/>
  <c r="G17" i="27"/>
  <c r="F17" i="27"/>
  <c r="E17" i="27"/>
  <c r="D17" i="27"/>
  <c r="C17" i="27"/>
  <c r="M16" i="27"/>
  <c r="L16" i="27"/>
  <c r="K16" i="27"/>
  <c r="I16" i="27"/>
  <c r="H16" i="27"/>
  <c r="G16" i="27"/>
  <c r="F16" i="27"/>
  <c r="E16" i="27"/>
  <c r="D16" i="27"/>
  <c r="C16" i="27"/>
  <c r="Q13" i="27"/>
  <c r="K13" i="27"/>
  <c r="G13" i="27"/>
  <c r="C13" i="27"/>
  <c r="Q12" i="27"/>
  <c r="M12" i="27"/>
  <c r="L12" i="27"/>
  <c r="K12" i="27"/>
  <c r="I12" i="27"/>
  <c r="H12" i="27"/>
  <c r="G12" i="27"/>
  <c r="J12" i="27" s="1"/>
  <c r="E12" i="27"/>
  <c r="D12" i="27"/>
  <c r="C12" i="27"/>
  <c r="F12" i="27" s="1"/>
  <c r="Q11" i="27"/>
  <c r="M11" i="27"/>
  <c r="N11" i="27" s="1"/>
  <c r="L11" i="27"/>
  <c r="K11" i="27"/>
  <c r="I11" i="27"/>
  <c r="J11" i="27" s="1"/>
  <c r="H11" i="27"/>
  <c r="G11" i="27"/>
  <c r="E11" i="27"/>
  <c r="F11" i="27" s="1"/>
  <c r="D11" i="27"/>
  <c r="C11" i="27"/>
  <c r="M10" i="27"/>
  <c r="L10" i="27"/>
  <c r="K10" i="27"/>
  <c r="I10" i="27"/>
  <c r="H10" i="27"/>
  <c r="G10" i="27"/>
  <c r="E10" i="27"/>
  <c r="D10" i="27"/>
  <c r="C10" i="27"/>
  <c r="N9" i="27"/>
  <c r="N20" i="27" s="1"/>
  <c r="J9" i="27"/>
  <c r="F9" i="27"/>
  <c r="F20" i="27" s="1"/>
  <c r="M39" i="41"/>
  <c r="L39" i="41"/>
  <c r="K39" i="41"/>
  <c r="N39" i="41" s="1"/>
  <c r="I39" i="41"/>
  <c r="H39" i="41"/>
  <c r="G39" i="41"/>
  <c r="J39" i="41" s="1"/>
  <c r="E39" i="41"/>
  <c r="D39" i="41"/>
  <c r="C39" i="41"/>
  <c r="M34" i="41"/>
  <c r="L34" i="41"/>
  <c r="K34" i="41"/>
  <c r="I34" i="41"/>
  <c r="H34" i="41"/>
  <c r="G34" i="41"/>
  <c r="E34" i="41"/>
  <c r="D34" i="41"/>
  <c r="C34" i="41"/>
  <c r="M33" i="41"/>
  <c r="L33" i="41"/>
  <c r="K33" i="41"/>
  <c r="I33" i="41"/>
  <c r="H33" i="41"/>
  <c r="G33" i="41"/>
  <c r="E33" i="41"/>
  <c r="D33" i="41"/>
  <c r="C33" i="41"/>
  <c r="M32" i="41"/>
  <c r="L32" i="41"/>
  <c r="K32" i="41"/>
  <c r="I32" i="41"/>
  <c r="H32" i="41"/>
  <c r="G32" i="41"/>
  <c r="E32" i="41"/>
  <c r="D32" i="41"/>
  <c r="C32" i="41"/>
  <c r="M31" i="41"/>
  <c r="L31" i="41"/>
  <c r="K31" i="41"/>
  <c r="I31" i="41"/>
  <c r="H31" i="41"/>
  <c r="G31" i="41"/>
  <c r="E31" i="41"/>
  <c r="D31" i="41"/>
  <c r="C31" i="41"/>
  <c r="M30" i="41"/>
  <c r="L30" i="41"/>
  <c r="K30" i="41"/>
  <c r="I30" i="41"/>
  <c r="H30" i="41"/>
  <c r="G30" i="41"/>
  <c r="E30" i="41"/>
  <c r="D30" i="41"/>
  <c r="C30" i="41"/>
  <c r="M29" i="41"/>
  <c r="L29" i="41"/>
  <c r="K29" i="41"/>
  <c r="I29" i="41"/>
  <c r="H29" i="41"/>
  <c r="G29" i="41"/>
  <c r="E29" i="41"/>
  <c r="D29" i="41"/>
  <c r="C29" i="41"/>
  <c r="M28" i="41"/>
  <c r="L28" i="41"/>
  <c r="K28" i="41"/>
  <c r="I28" i="41"/>
  <c r="H28" i="41"/>
  <c r="G28" i="41"/>
  <c r="E28" i="41"/>
  <c r="D28" i="41"/>
  <c r="C28" i="41"/>
  <c r="M27" i="41"/>
  <c r="L27" i="41"/>
  <c r="K27" i="41"/>
  <c r="I27" i="41"/>
  <c r="H27" i="41"/>
  <c r="G27" i="41"/>
  <c r="E27" i="41"/>
  <c r="D27" i="41"/>
  <c r="C27" i="41"/>
  <c r="M26" i="41"/>
  <c r="L26" i="41"/>
  <c r="K26" i="41"/>
  <c r="I26" i="41"/>
  <c r="H26" i="41"/>
  <c r="G26" i="41"/>
  <c r="E26" i="41"/>
  <c r="D26" i="41"/>
  <c r="C26" i="41"/>
  <c r="M25" i="41"/>
  <c r="L25" i="41"/>
  <c r="K25" i="41"/>
  <c r="I25" i="41"/>
  <c r="H25" i="41"/>
  <c r="G25" i="41"/>
  <c r="E25" i="41"/>
  <c r="D25" i="41"/>
  <c r="C25" i="41"/>
  <c r="M24" i="41"/>
  <c r="L24" i="41"/>
  <c r="K24" i="41"/>
  <c r="I24" i="41"/>
  <c r="H24" i="41"/>
  <c r="G24" i="41"/>
  <c r="E24" i="41"/>
  <c r="D24" i="41"/>
  <c r="C24" i="41"/>
  <c r="M23" i="41"/>
  <c r="L23" i="41"/>
  <c r="K23" i="41"/>
  <c r="I23" i="41"/>
  <c r="H23" i="41"/>
  <c r="G23" i="41"/>
  <c r="E23" i="41"/>
  <c r="D23" i="41"/>
  <c r="C23" i="41"/>
  <c r="V22" i="41"/>
  <c r="N22" i="41"/>
  <c r="M22" i="41"/>
  <c r="L22" i="41"/>
  <c r="K22" i="41"/>
  <c r="J22" i="41"/>
  <c r="I22" i="41"/>
  <c r="H22" i="41"/>
  <c r="G22" i="41"/>
  <c r="F22" i="41"/>
  <c r="E22" i="41"/>
  <c r="D22" i="41"/>
  <c r="C22" i="41"/>
  <c r="V21" i="41"/>
  <c r="G21" i="41"/>
  <c r="N20" i="41"/>
  <c r="M20" i="41"/>
  <c r="L20" i="41"/>
  <c r="K20" i="41"/>
  <c r="J20" i="41"/>
  <c r="I20" i="41"/>
  <c r="H20" i="41"/>
  <c r="G20" i="41"/>
  <c r="E20" i="41"/>
  <c r="D20" i="41"/>
  <c r="C20" i="41"/>
  <c r="N19" i="41"/>
  <c r="M19" i="41"/>
  <c r="L19" i="41"/>
  <c r="K19" i="41"/>
  <c r="J19" i="41"/>
  <c r="I19" i="41"/>
  <c r="H19" i="41"/>
  <c r="G19" i="41"/>
  <c r="E19" i="41"/>
  <c r="D19" i="41"/>
  <c r="C19" i="41"/>
  <c r="N18" i="41"/>
  <c r="M18" i="41"/>
  <c r="L18" i="41"/>
  <c r="K18" i="41"/>
  <c r="J18" i="41"/>
  <c r="I18" i="41"/>
  <c r="H18" i="41"/>
  <c r="G18" i="41"/>
  <c r="E18" i="41"/>
  <c r="D18" i="41"/>
  <c r="C18" i="41"/>
  <c r="V17" i="41"/>
  <c r="L17" i="41"/>
  <c r="K17" i="41"/>
  <c r="G17" i="41"/>
  <c r="D17" i="41"/>
  <c r="C17" i="41"/>
  <c r="M16" i="41"/>
  <c r="L16" i="41"/>
  <c r="K16" i="41"/>
  <c r="J16" i="41"/>
  <c r="I16" i="41"/>
  <c r="H16" i="41"/>
  <c r="G16" i="41"/>
  <c r="E16" i="41"/>
  <c r="D16" i="41"/>
  <c r="C16" i="41"/>
  <c r="Q13" i="41"/>
  <c r="M13" i="41"/>
  <c r="N13" i="41" s="1"/>
  <c r="L13" i="41"/>
  <c r="K13" i="41"/>
  <c r="I13" i="41"/>
  <c r="J13" i="41" s="1"/>
  <c r="H13" i="41"/>
  <c r="G13" i="41"/>
  <c r="E13" i="41"/>
  <c r="F13" i="41" s="1"/>
  <c r="D13" i="41"/>
  <c r="C13" i="41"/>
  <c r="Q12" i="41"/>
  <c r="K12" i="41"/>
  <c r="G12" i="41"/>
  <c r="C12" i="41"/>
  <c r="Q11" i="41"/>
  <c r="L11" i="41"/>
  <c r="K11" i="41"/>
  <c r="H11" i="41"/>
  <c r="G11" i="41"/>
  <c r="D11" i="41"/>
  <c r="C11" i="41"/>
  <c r="M10" i="41"/>
  <c r="L10" i="41"/>
  <c r="K10" i="41"/>
  <c r="I10" i="41"/>
  <c r="H10" i="41"/>
  <c r="G10" i="41"/>
  <c r="E10" i="41"/>
  <c r="D10" i="41"/>
  <c r="C10" i="41"/>
  <c r="N9" i="41"/>
  <c r="N16" i="41" s="1"/>
  <c r="J9" i="41"/>
  <c r="J34" i="41" s="1"/>
  <c r="F9" i="41"/>
  <c r="I39" i="25"/>
  <c r="H39" i="25"/>
  <c r="G39" i="25"/>
  <c r="J39" i="25" s="1"/>
  <c r="E39" i="25"/>
  <c r="D39" i="25"/>
  <c r="C39" i="25"/>
  <c r="F39" i="25" s="1"/>
  <c r="C38" i="25"/>
  <c r="J34" i="25"/>
  <c r="I34" i="25"/>
  <c r="H34" i="25"/>
  <c r="G34" i="25"/>
  <c r="F34" i="25"/>
  <c r="E34" i="25"/>
  <c r="D34" i="25"/>
  <c r="C34" i="25"/>
  <c r="J33" i="25"/>
  <c r="I33" i="25"/>
  <c r="H33" i="25"/>
  <c r="G33" i="25"/>
  <c r="F33" i="25"/>
  <c r="E33" i="25"/>
  <c r="D33" i="25"/>
  <c r="C33" i="25"/>
  <c r="J32" i="25"/>
  <c r="I32" i="25"/>
  <c r="H32" i="25"/>
  <c r="G32" i="25"/>
  <c r="F32" i="25"/>
  <c r="E32" i="25"/>
  <c r="D32" i="25"/>
  <c r="C32" i="25"/>
  <c r="J31" i="25"/>
  <c r="I31" i="25"/>
  <c r="H31" i="25"/>
  <c r="G31" i="25"/>
  <c r="F31" i="25"/>
  <c r="E31" i="25"/>
  <c r="D31" i="25"/>
  <c r="C31" i="25"/>
  <c r="J30" i="25"/>
  <c r="I30" i="25"/>
  <c r="H30" i="25"/>
  <c r="G30" i="25"/>
  <c r="F30" i="25"/>
  <c r="E30" i="25"/>
  <c r="D30" i="25"/>
  <c r="C30" i="25"/>
  <c r="J29" i="25"/>
  <c r="I29" i="25"/>
  <c r="H29" i="25"/>
  <c r="G29" i="25"/>
  <c r="F29" i="25"/>
  <c r="E29" i="25"/>
  <c r="D29" i="25"/>
  <c r="C29" i="25"/>
  <c r="J28" i="25"/>
  <c r="I28" i="25"/>
  <c r="H28" i="25"/>
  <c r="G28" i="25"/>
  <c r="F28" i="25"/>
  <c r="E28" i="25"/>
  <c r="D28" i="25"/>
  <c r="C28" i="25"/>
  <c r="J27" i="25"/>
  <c r="I27" i="25"/>
  <c r="H27" i="25"/>
  <c r="G27" i="25"/>
  <c r="F27" i="25"/>
  <c r="E27" i="25"/>
  <c r="D27" i="25"/>
  <c r="C27" i="25"/>
  <c r="J26" i="25"/>
  <c r="I26" i="25"/>
  <c r="H26" i="25"/>
  <c r="G26" i="25"/>
  <c r="F26" i="25"/>
  <c r="E26" i="25"/>
  <c r="D26" i="25"/>
  <c r="C26" i="25"/>
  <c r="J25" i="25"/>
  <c r="I25" i="25"/>
  <c r="H25" i="25"/>
  <c r="G25" i="25"/>
  <c r="F25" i="25"/>
  <c r="E25" i="25"/>
  <c r="D25" i="25"/>
  <c r="C25" i="25"/>
  <c r="J24" i="25"/>
  <c r="I24" i="25"/>
  <c r="H24" i="25"/>
  <c r="G24" i="25"/>
  <c r="F24" i="25"/>
  <c r="E24" i="25"/>
  <c r="D24" i="25"/>
  <c r="C24" i="25"/>
  <c r="J23" i="25"/>
  <c r="I23" i="25"/>
  <c r="H23" i="25"/>
  <c r="G23" i="25"/>
  <c r="F23" i="25"/>
  <c r="E23" i="25"/>
  <c r="D23" i="25"/>
  <c r="C23" i="25"/>
  <c r="C35" i="25" s="1"/>
  <c r="V22" i="25"/>
  <c r="H22" i="25" s="1"/>
  <c r="D22" i="25"/>
  <c r="C22" i="25"/>
  <c r="V21" i="25"/>
  <c r="I21" i="25"/>
  <c r="H21" i="25"/>
  <c r="G21" i="25"/>
  <c r="E21" i="25"/>
  <c r="D21" i="25"/>
  <c r="C21" i="25"/>
  <c r="I20" i="25"/>
  <c r="H20" i="25"/>
  <c r="G20" i="25"/>
  <c r="E20" i="25"/>
  <c r="D20" i="25"/>
  <c r="C20" i="25"/>
  <c r="I19" i="25"/>
  <c r="H19" i="25"/>
  <c r="G19" i="25"/>
  <c r="E19" i="25"/>
  <c r="D19" i="25"/>
  <c r="C19" i="25"/>
  <c r="I18" i="25"/>
  <c r="H18" i="25"/>
  <c r="G18" i="25"/>
  <c r="E18" i="25"/>
  <c r="D18" i="25"/>
  <c r="C18" i="25"/>
  <c r="V17" i="25"/>
  <c r="J17" i="25"/>
  <c r="I17" i="25"/>
  <c r="H17" i="25"/>
  <c r="G17" i="25"/>
  <c r="F17" i="25"/>
  <c r="E17" i="25"/>
  <c r="D17" i="25"/>
  <c r="C17" i="25"/>
  <c r="J16" i="25"/>
  <c r="I16" i="25"/>
  <c r="H16" i="25"/>
  <c r="G16" i="25"/>
  <c r="F16" i="25"/>
  <c r="E16" i="25"/>
  <c r="D16" i="25"/>
  <c r="C16" i="25"/>
  <c r="M14" i="25"/>
  <c r="C14" i="25"/>
  <c r="C36" i="25" s="1"/>
  <c r="M13" i="25"/>
  <c r="H13" i="25" s="1"/>
  <c r="D13" i="25"/>
  <c r="C13" i="25"/>
  <c r="M12" i="25"/>
  <c r="I12" i="25"/>
  <c r="H12" i="25"/>
  <c r="G12" i="25"/>
  <c r="E12" i="25"/>
  <c r="D12" i="25"/>
  <c r="C12" i="25"/>
  <c r="F12" i="25" s="1"/>
  <c r="M11" i="25"/>
  <c r="I11" i="25"/>
  <c r="J11" i="25" s="1"/>
  <c r="H11" i="25"/>
  <c r="G11" i="25"/>
  <c r="E11" i="25"/>
  <c r="F11" i="25" s="1"/>
  <c r="D11" i="25"/>
  <c r="C11" i="25"/>
  <c r="I10" i="25"/>
  <c r="H10" i="25"/>
  <c r="G10" i="25"/>
  <c r="E10" i="25"/>
  <c r="D10" i="25"/>
  <c r="D14" i="25" s="1"/>
  <c r="C10" i="25"/>
  <c r="J9" i="25"/>
  <c r="F9" i="25"/>
  <c r="E39" i="24"/>
  <c r="D39" i="24"/>
  <c r="C39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C35" i="24" s="1"/>
  <c r="V22" i="24"/>
  <c r="E22" i="24"/>
  <c r="D22" i="24"/>
  <c r="C22" i="24"/>
  <c r="V21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V17" i="24"/>
  <c r="C17" i="24"/>
  <c r="E16" i="24"/>
  <c r="D16" i="24"/>
  <c r="C16" i="24"/>
  <c r="I13" i="24"/>
  <c r="E13" i="24"/>
  <c r="D13" i="24"/>
  <c r="C13" i="24"/>
  <c r="I12" i="24"/>
  <c r="F12" i="24"/>
  <c r="E12" i="24"/>
  <c r="D12" i="24"/>
  <c r="C12" i="24"/>
  <c r="I11" i="24"/>
  <c r="C11" i="24" s="1"/>
  <c r="F10" i="24"/>
  <c r="E10" i="24"/>
  <c r="D10" i="24"/>
  <c r="C10" i="24"/>
  <c r="C14" i="24" s="1"/>
  <c r="F9" i="24"/>
  <c r="M39" i="23"/>
  <c r="L39" i="23"/>
  <c r="K39" i="23"/>
  <c r="N39" i="23" s="1"/>
  <c r="I39" i="23"/>
  <c r="H39" i="23"/>
  <c r="G39" i="23"/>
  <c r="E39" i="23"/>
  <c r="D39" i="23"/>
  <c r="C39" i="23"/>
  <c r="G38" i="23"/>
  <c r="M34" i="23"/>
  <c r="L34" i="23"/>
  <c r="K34" i="23"/>
  <c r="I34" i="23"/>
  <c r="H34" i="23"/>
  <c r="G34" i="23"/>
  <c r="E34" i="23"/>
  <c r="D34" i="23"/>
  <c r="C34" i="23"/>
  <c r="M33" i="23"/>
  <c r="L33" i="23"/>
  <c r="K33" i="23"/>
  <c r="I33" i="23"/>
  <c r="H33" i="23"/>
  <c r="G33" i="23"/>
  <c r="E33" i="23"/>
  <c r="D33" i="23"/>
  <c r="C33" i="23"/>
  <c r="M32" i="23"/>
  <c r="L32" i="23"/>
  <c r="K32" i="23"/>
  <c r="I32" i="23"/>
  <c r="H32" i="23"/>
  <c r="G32" i="23"/>
  <c r="E32" i="23"/>
  <c r="D32" i="23"/>
  <c r="C32" i="23"/>
  <c r="M31" i="23"/>
  <c r="L31" i="23"/>
  <c r="K31" i="23"/>
  <c r="I31" i="23"/>
  <c r="H31" i="23"/>
  <c r="G31" i="23"/>
  <c r="E31" i="23"/>
  <c r="D31" i="23"/>
  <c r="C31" i="23"/>
  <c r="M30" i="23"/>
  <c r="L30" i="23"/>
  <c r="K30" i="23"/>
  <c r="I30" i="23"/>
  <c r="H30" i="23"/>
  <c r="G30" i="23"/>
  <c r="E30" i="23"/>
  <c r="D30" i="23"/>
  <c r="C30" i="23"/>
  <c r="M29" i="23"/>
  <c r="L29" i="23"/>
  <c r="K29" i="23"/>
  <c r="I29" i="23"/>
  <c r="H29" i="23"/>
  <c r="G29" i="23"/>
  <c r="E29" i="23"/>
  <c r="D29" i="23"/>
  <c r="C29" i="23"/>
  <c r="M28" i="23"/>
  <c r="L28" i="23"/>
  <c r="K28" i="23"/>
  <c r="I28" i="23"/>
  <c r="H28" i="23"/>
  <c r="G28" i="23"/>
  <c r="E28" i="23"/>
  <c r="D28" i="23"/>
  <c r="C28" i="23"/>
  <c r="M27" i="23"/>
  <c r="L27" i="23"/>
  <c r="K27" i="23"/>
  <c r="I27" i="23"/>
  <c r="H27" i="23"/>
  <c r="G27" i="23"/>
  <c r="E27" i="23"/>
  <c r="D27" i="23"/>
  <c r="C27" i="23"/>
  <c r="M26" i="23"/>
  <c r="L26" i="23"/>
  <c r="K26" i="23"/>
  <c r="I26" i="23"/>
  <c r="H26" i="23"/>
  <c r="G26" i="23"/>
  <c r="E26" i="23"/>
  <c r="D26" i="23"/>
  <c r="C26" i="23"/>
  <c r="M25" i="23"/>
  <c r="L25" i="23"/>
  <c r="K25" i="23"/>
  <c r="I25" i="23"/>
  <c r="H25" i="23"/>
  <c r="G25" i="23"/>
  <c r="E25" i="23"/>
  <c r="D25" i="23"/>
  <c r="C25" i="23"/>
  <c r="M24" i="23"/>
  <c r="L24" i="23"/>
  <c r="K24" i="23"/>
  <c r="I24" i="23"/>
  <c r="H24" i="23"/>
  <c r="G24" i="23"/>
  <c r="E24" i="23"/>
  <c r="D24" i="23"/>
  <c r="C24" i="23"/>
  <c r="M23" i="23"/>
  <c r="L23" i="23"/>
  <c r="K23" i="23"/>
  <c r="I23" i="23"/>
  <c r="H23" i="23"/>
  <c r="G23" i="23"/>
  <c r="E23" i="23"/>
  <c r="D23" i="23"/>
  <c r="C23" i="23"/>
  <c r="U22" i="23"/>
  <c r="M22" i="23"/>
  <c r="L22" i="23"/>
  <c r="K22" i="23"/>
  <c r="I22" i="23"/>
  <c r="H22" i="23"/>
  <c r="G22" i="23"/>
  <c r="E22" i="23"/>
  <c r="D22" i="23"/>
  <c r="C22" i="23"/>
  <c r="U21" i="23"/>
  <c r="M21" i="23"/>
  <c r="L21" i="23"/>
  <c r="K21" i="23"/>
  <c r="I21" i="23"/>
  <c r="H21" i="23"/>
  <c r="G21" i="23"/>
  <c r="F21" i="23"/>
  <c r="E21" i="23"/>
  <c r="D21" i="23"/>
  <c r="C21" i="23"/>
  <c r="M20" i="23"/>
  <c r="L20" i="23"/>
  <c r="K20" i="23"/>
  <c r="I20" i="23"/>
  <c r="H20" i="23"/>
  <c r="G20" i="23"/>
  <c r="F20" i="23"/>
  <c r="E20" i="23"/>
  <c r="D20" i="23"/>
  <c r="C20" i="23"/>
  <c r="M19" i="23"/>
  <c r="L19" i="23"/>
  <c r="K19" i="23"/>
  <c r="I19" i="23"/>
  <c r="H19" i="23"/>
  <c r="G19" i="23"/>
  <c r="F19" i="23"/>
  <c r="E19" i="23"/>
  <c r="D19" i="23"/>
  <c r="C19" i="23"/>
  <c r="M18" i="23"/>
  <c r="L18" i="23"/>
  <c r="K18" i="23"/>
  <c r="I18" i="23"/>
  <c r="H18" i="23"/>
  <c r="G18" i="23"/>
  <c r="F18" i="23"/>
  <c r="E18" i="23"/>
  <c r="D18" i="23"/>
  <c r="C18" i="23"/>
  <c r="U17" i="23"/>
  <c r="K17" i="23"/>
  <c r="G17" i="23"/>
  <c r="F17" i="23"/>
  <c r="C17" i="23"/>
  <c r="M16" i="23"/>
  <c r="L16" i="23"/>
  <c r="K16" i="23"/>
  <c r="I16" i="23"/>
  <c r="H16" i="23"/>
  <c r="G16" i="23"/>
  <c r="G35" i="23" s="1"/>
  <c r="G36" i="23" s="1"/>
  <c r="F16" i="23"/>
  <c r="E16" i="23"/>
  <c r="D16" i="23"/>
  <c r="C16" i="23"/>
  <c r="C35" i="23" s="1"/>
  <c r="C36" i="23" s="1"/>
  <c r="Q14" i="23"/>
  <c r="K14" i="23"/>
  <c r="H14" i="23"/>
  <c r="G14" i="23"/>
  <c r="C14" i="23"/>
  <c r="C38" i="23" s="1"/>
  <c r="Q13" i="23"/>
  <c r="M13" i="23"/>
  <c r="L13" i="23"/>
  <c r="L14" i="23" s="1"/>
  <c r="K13" i="23"/>
  <c r="N13" i="23" s="1"/>
  <c r="I13" i="23"/>
  <c r="H13" i="23"/>
  <c r="G13" i="23"/>
  <c r="E13" i="23"/>
  <c r="D13" i="23"/>
  <c r="D14" i="23" s="1"/>
  <c r="D38" i="23" s="1"/>
  <c r="C13" i="23"/>
  <c r="Q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N10" i="23"/>
  <c r="M10" i="23"/>
  <c r="M14" i="23" s="1"/>
  <c r="L10" i="23"/>
  <c r="K10" i="23"/>
  <c r="J10" i="23"/>
  <c r="I10" i="23"/>
  <c r="I14" i="23" s="1"/>
  <c r="H10" i="23"/>
  <c r="G10" i="23"/>
  <c r="F10" i="23"/>
  <c r="E10" i="23"/>
  <c r="D10" i="23"/>
  <c r="C10" i="23"/>
  <c r="N9" i="23"/>
  <c r="N17" i="23" s="1"/>
  <c r="J9" i="23"/>
  <c r="F9" i="23"/>
  <c r="F34" i="23" s="1"/>
  <c r="I39" i="21"/>
  <c r="H39" i="21"/>
  <c r="G39" i="21"/>
  <c r="E39" i="21"/>
  <c r="D39" i="21"/>
  <c r="C39" i="21"/>
  <c r="F39" i="21" s="1"/>
  <c r="I34" i="21"/>
  <c r="H34" i="21"/>
  <c r="G34" i="21"/>
  <c r="E34" i="21"/>
  <c r="D34" i="21"/>
  <c r="C34" i="21"/>
  <c r="I33" i="21"/>
  <c r="H33" i="21"/>
  <c r="G33" i="21"/>
  <c r="E33" i="21"/>
  <c r="D33" i="21"/>
  <c r="C33" i="21"/>
  <c r="I32" i="21"/>
  <c r="H32" i="21"/>
  <c r="G32" i="21"/>
  <c r="E32" i="21"/>
  <c r="D32" i="21"/>
  <c r="C32" i="21"/>
  <c r="I31" i="21"/>
  <c r="H31" i="21"/>
  <c r="G31" i="21"/>
  <c r="E31" i="21"/>
  <c r="D31" i="21"/>
  <c r="C31" i="21"/>
  <c r="I30" i="21"/>
  <c r="H30" i="21"/>
  <c r="G30" i="21"/>
  <c r="E30" i="21"/>
  <c r="D30" i="21"/>
  <c r="C30" i="21"/>
  <c r="I29" i="21"/>
  <c r="H29" i="21"/>
  <c r="G29" i="21"/>
  <c r="E29" i="21"/>
  <c r="D29" i="21"/>
  <c r="C29" i="21"/>
  <c r="I28" i="21"/>
  <c r="H28" i="21"/>
  <c r="G28" i="21"/>
  <c r="E28" i="21"/>
  <c r="D28" i="21"/>
  <c r="C28" i="21"/>
  <c r="I27" i="21"/>
  <c r="H27" i="21"/>
  <c r="G27" i="21"/>
  <c r="E27" i="21"/>
  <c r="D27" i="21"/>
  <c r="C27" i="21"/>
  <c r="I26" i="21"/>
  <c r="H26" i="21"/>
  <c r="G26" i="21"/>
  <c r="E26" i="21"/>
  <c r="D26" i="21"/>
  <c r="C26" i="21"/>
  <c r="I25" i="21"/>
  <c r="H25" i="21"/>
  <c r="G25" i="21"/>
  <c r="E25" i="21"/>
  <c r="D25" i="21"/>
  <c r="C25" i="21"/>
  <c r="I24" i="21"/>
  <c r="H24" i="21"/>
  <c r="G24" i="21"/>
  <c r="E24" i="21"/>
  <c r="D24" i="21"/>
  <c r="C24" i="21"/>
  <c r="I23" i="21"/>
  <c r="H23" i="21"/>
  <c r="G23" i="21"/>
  <c r="E23" i="21"/>
  <c r="D23" i="21"/>
  <c r="C23" i="21"/>
  <c r="U22" i="21"/>
  <c r="I22" i="21"/>
  <c r="H22" i="21"/>
  <c r="G22" i="21"/>
  <c r="F22" i="21"/>
  <c r="E22" i="21"/>
  <c r="D22" i="21"/>
  <c r="C22" i="21"/>
  <c r="U21" i="21"/>
  <c r="G21" i="21"/>
  <c r="F21" i="21"/>
  <c r="I20" i="21"/>
  <c r="H20" i="21"/>
  <c r="G20" i="21"/>
  <c r="F20" i="21"/>
  <c r="E20" i="21"/>
  <c r="D20" i="21"/>
  <c r="C20" i="21"/>
  <c r="I19" i="21"/>
  <c r="H19" i="21"/>
  <c r="G19" i="21"/>
  <c r="F19" i="21"/>
  <c r="E19" i="21"/>
  <c r="D19" i="21"/>
  <c r="C19" i="21"/>
  <c r="I18" i="21"/>
  <c r="H18" i="21"/>
  <c r="G18" i="21"/>
  <c r="F18" i="21"/>
  <c r="E18" i="21"/>
  <c r="D18" i="21"/>
  <c r="C18" i="21"/>
  <c r="U17" i="21"/>
  <c r="J17" i="21" s="1"/>
  <c r="F17" i="21"/>
  <c r="D17" i="21"/>
  <c r="I16" i="21"/>
  <c r="H16" i="21"/>
  <c r="G16" i="21"/>
  <c r="F16" i="21"/>
  <c r="E16" i="21"/>
  <c r="D16" i="21"/>
  <c r="C16" i="21"/>
  <c r="M13" i="21"/>
  <c r="I13" i="21"/>
  <c r="H13" i="21"/>
  <c r="G13" i="21"/>
  <c r="E13" i="21"/>
  <c r="D13" i="21"/>
  <c r="C13" i="21"/>
  <c r="M12" i="21"/>
  <c r="I12" i="21"/>
  <c r="E12" i="21"/>
  <c r="C12" i="21"/>
  <c r="M11" i="21"/>
  <c r="H11" i="21"/>
  <c r="G11" i="21"/>
  <c r="D11" i="21"/>
  <c r="C11" i="21"/>
  <c r="I10" i="21"/>
  <c r="H10" i="21"/>
  <c r="G10" i="21"/>
  <c r="E10" i="21"/>
  <c r="D10" i="21"/>
  <c r="C10" i="21"/>
  <c r="J9" i="21"/>
  <c r="J22" i="21" s="1"/>
  <c r="F9" i="21"/>
  <c r="F34" i="21" s="1"/>
  <c r="I39" i="20"/>
  <c r="H39" i="20"/>
  <c r="J39" i="20" s="1"/>
  <c r="G39" i="20"/>
  <c r="E39" i="20"/>
  <c r="D39" i="20"/>
  <c r="F39" i="20" s="1"/>
  <c r="C39" i="20"/>
  <c r="I34" i="20"/>
  <c r="H34" i="20"/>
  <c r="G34" i="20"/>
  <c r="F34" i="20"/>
  <c r="E34" i="20"/>
  <c r="D34" i="20"/>
  <c r="C34" i="20"/>
  <c r="I33" i="20"/>
  <c r="H33" i="20"/>
  <c r="G33" i="20"/>
  <c r="F33" i="20"/>
  <c r="E33" i="20"/>
  <c r="D33" i="20"/>
  <c r="C33" i="20"/>
  <c r="I32" i="20"/>
  <c r="H32" i="20"/>
  <c r="G32" i="20"/>
  <c r="F32" i="20"/>
  <c r="E32" i="20"/>
  <c r="D32" i="20"/>
  <c r="C32" i="20"/>
  <c r="I31" i="20"/>
  <c r="H31" i="20"/>
  <c r="G31" i="20"/>
  <c r="F31" i="20"/>
  <c r="E31" i="20"/>
  <c r="D31" i="20"/>
  <c r="C31" i="20"/>
  <c r="I30" i="20"/>
  <c r="H30" i="20"/>
  <c r="G30" i="20"/>
  <c r="F30" i="20"/>
  <c r="E30" i="20"/>
  <c r="D30" i="20"/>
  <c r="C30" i="20"/>
  <c r="I29" i="20"/>
  <c r="H29" i="20"/>
  <c r="G29" i="20"/>
  <c r="F29" i="20"/>
  <c r="E29" i="20"/>
  <c r="D29" i="20"/>
  <c r="C29" i="20"/>
  <c r="I28" i="20"/>
  <c r="H28" i="20"/>
  <c r="G28" i="20"/>
  <c r="F28" i="20"/>
  <c r="E28" i="20"/>
  <c r="D28" i="20"/>
  <c r="C28" i="20"/>
  <c r="I27" i="20"/>
  <c r="H27" i="20"/>
  <c r="G27" i="20"/>
  <c r="F27" i="20"/>
  <c r="E27" i="20"/>
  <c r="D27" i="20"/>
  <c r="C27" i="20"/>
  <c r="I26" i="20"/>
  <c r="H26" i="20"/>
  <c r="G26" i="20"/>
  <c r="F26" i="20"/>
  <c r="E26" i="20"/>
  <c r="D26" i="20"/>
  <c r="C26" i="20"/>
  <c r="I25" i="20"/>
  <c r="H25" i="20"/>
  <c r="G25" i="20"/>
  <c r="F25" i="20"/>
  <c r="E25" i="20"/>
  <c r="D25" i="20"/>
  <c r="C25" i="20"/>
  <c r="I24" i="20"/>
  <c r="H24" i="20"/>
  <c r="G24" i="20"/>
  <c r="F24" i="20"/>
  <c r="E24" i="20"/>
  <c r="D24" i="20"/>
  <c r="C24" i="20"/>
  <c r="I23" i="20"/>
  <c r="H23" i="20"/>
  <c r="G23" i="20"/>
  <c r="F23" i="20"/>
  <c r="E23" i="20"/>
  <c r="D23" i="20"/>
  <c r="C23" i="20"/>
  <c r="V22" i="20"/>
  <c r="H22" i="20" s="1"/>
  <c r="I22" i="20"/>
  <c r="G22" i="20"/>
  <c r="F22" i="20"/>
  <c r="E22" i="20"/>
  <c r="C22" i="20"/>
  <c r="V21" i="20"/>
  <c r="C21" i="20"/>
  <c r="J20" i="20"/>
  <c r="I20" i="20"/>
  <c r="H20" i="20"/>
  <c r="G20" i="20"/>
  <c r="F20" i="20"/>
  <c r="E20" i="20"/>
  <c r="D20" i="20"/>
  <c r="C20" i="20"/>
  <c r="J19" i="20"/>
  <c r="I19" i="20"/>
  <c r="H19" i="20"/>
  <c r="G19" i="20"/>
  <c r="F19" i="20"/>
  <c r="E19" i="20"/>
  <c r="D19" i="20"/>
  <c r="C19" i="20"/>
  <c r="J18" i="20"/>
  <c r="I18" i="20"/>
  <c r="H18" i="20"/>
  <c r="G18" i="20"/>
  <c r="F18" i="20"/>
  <c r="E18" i="20"/>
  <c r="D18" i="20"/>
  <c r="C18" i="20"/>
  <c r="V17" i="20"/>
  <c r="H17" i="20" s="1"/>
  <c r="G17" i="20"/>
  <c r="D17" i="20"/>
  <c r="C17" i="20"/>
  <c r="I16" i="20"/>
  <c r="H16" i="20"/>
  <c r="G16" i="20"/>
  <c r="E16" i="20"/>
  <c r="D16" i="20"/>
  <c r="C16" i="20"/>
  <c r="I13" i="20"/>
  <c r="H13" i="20"/>
  <c r="G13" i="20"/>
  <c r="E13" i="20"/>
  <c r="D13" i="20"/>
  <c r="F13" i="20" s="1"/>
  <c r="C13" i="20"/>
  <c r="M12" i="20"/>
  <c r="H12" i="20" s="1"/>
  <c r="I12" i="20"/>
  <c r="J12" i="20" s="1"/>
  <c r="G12" i="20"/>
  <c r="E12" i="20"/>
  <c r="C12" i="20"/>
  <c r="M11" i="20"/>
  <c r="G11" i="20"/>
  <c r="C11" i="20"/>
  <c r="I10" i="20"/>
  <c r="H10" i="20"/>
  <c r="G10" i="20"/>
  <c r="J10" i="20" s="1"/>
  <c r="E10" i="20"/>
  <c r="D10" i="20"/>
  <c r="C10" i="20"/>
  <c r="C14" i="20" s="1"/>
  <c r="J9" i="20"/>
  <c r="F9" i="20"/>
  <c r="F16" i="20" s="1"/>
  <c r="Q39" i="19"/>
  <c r="P39" i="19"/>
  <c r="O39" i="19"/>
  <c r="M39" i="19"/>
  <c r="L39" i="19"/>
  <c r="N39" i="19" s="1"/>
  <c r="K39" i="19"/>
  <c r="I39" i="19"/>
  <c r="H39" i="19"/>
  <c r="J39" i="19" s="1"/>
  <c r="G39" i="19"/>
  <c r="E39" i="19"/>
  <c r="D39" i="19"/>
  <c r="C39" i="19"/>
  <c r="Q34" i="19"/>
  <c r="P34" i="19"/>
  <c r="O34" i="19"/>
  <c r="M34" i="19"/>
  <c r="L34" i="19"/>
  <c r="K34" i="19"/>
  <c r="I34" i="19"/>
  <c r="H34" i="19"/>
  <c r="G34" i="19"/>
  <c r="E34" i="19"/>
  <c r="D34" i="19"/>
  <c r="C34" i="19"/>
  <c r="Q33" i="19"/>
  <c r="P33" i="19"/>
  <c r="O33" i="19"/>
  <c r="M33" i="19"/>
  <c r="L33" i="19"/>
  <c r="K33" i="19"/>
  <c r="I33" i="19"/>
  <c r="H33" i="19"/>
  <c r="G33" i="19"/>
  <c r="E33" i="19"/>
  <c r="D33" i="19"/>
  <c r="C33" i="19"/>
  <c r="Q32" i="19"/>
  <c r="P32" i="19"/>
  <c r="O32" i="19"/>
  <c r="M32" i="19"/>
  <c r="L32" i="19"/>
  <c r="K32" i="19"/>
  <c r="I32" i="19"/>
  <c r="H32" i="19"/>
  <c r="G32" i="19"/>
  <c r="E32" i="19"/>
  <c r="D32" i="19"/>
  <c r="C32" i="19"/>
  <c r="Q31" i="19"/>
  <c r="P31" i="19"/>
  <c r="O31" i="19"/>
  <c r="M31" i="19"/>
  <c r="L31" i="19"/>
  <c r="K31" i="19"/>
  <c r="I31" i="19"/>
  <c r="H31" i="19"/>
  <c r="G31" i="19"/>
  <c r="E31" i="19"/>
  <c r="D31" i="19"/>
  <c r="C31" i="19"/>
  <c r="Q30" i="19"/>
  <c r="P30" i="19"/>
  <c r="O30" i="19"/>
  <c r="M30" i="19"/>
  <c r="L30" i="19"/>
  <c r="K30" i="19"/>
  <c r="I30" i="19"/>
  <c r="H30" i="19"/>
  <c r="G30" i="19"/>
  <c r="E30" i="19"/>
  <c r="D30" i="19"/>
  <c r="C30" i="19"/>
  <c r="Q29" i="19"/>
  <c r="P29" i="19"/>
  <c r="O29" i="19"/>
  <c r="M29" i="19"/>
  <c r="L29" i="19"/>
  <c r="K29" i="19"/>
  <c r="I29" i="19"/>
  <c r="H29" i="19"/>
  <c r="G29" i="19"/>
  <c r="E29" i="19"/>
  <c r="D29" i="19"/>
  <c r="C29" i="19"/>
  <c r="Q28" i="19"/>
  <c r="P28" i="19"/>
  <c r="O28" i="19"/>
  <c r="M28" i="19"/>
  <c r="L28" i="19"/>
  <c r="K28" i="19"/>
  <c r="I28" i="19"/>
  <c r="H28" i="19"/>
  <c r="G28" i="19"/>
  <c r="E28" i="19"/>
  <c r="D28" i="19"/>
  <c r="C28" i="19"/>
  <c r="R27" i="19"/>
  <c r="Q27" i="19"/>
  <c r="P27" i="19"/>
  <c r="O27" i="19"/>
  <c r="M27" i="19"/>
  <c r="L27" i="19"/>
  <c r="K27" i="19"/>
  <c r="I27" i="19"/>
  <c r="H27" i="19"/>
  <c r="G27" i="19"/>
  <c r="E27" i="19"/>
  <c r="D27" i="19"/>
  <c r="C27" i="19"/>
  <c r="R26" i="19"/>
  <c r="Q26" i="19"/>
  <c r="P26" i="19"/>
  <c r="O26" i="19"/>
  <c r="M26" i="19"/>
  <c r="L26" i="19"/>
  <c r="K26" i="19"/>
  <c r="I26" i="19"/>
  <c r="H26" i="19"/>
  <c r="G26" i="19"/>
  <c r="E26" i="19"/>
  <c r="D26" i="19"/>
  <c r="C26" i="19"/>
  <c r="R25" i="19"/>
  <c r="Q25" i="19"/>
  <c r="P25" i="19"/>
  <c r="O25" i="19"/>
  <c r="M25" i="19"/>
  <c r="L25" i="19"/>
  <c r="K25" i="19"/>
  <c r="I25" i="19"/>
  <c r="H25" i="19"/>
  <c r="G25" i="19"/>
  <c r="E25" i="19"/>
  <c r="D25" i="19"/>
  <c r="C25" i="19"/>
  <c r="R24" i="19"/>
  <c r="Q24" i="19"/>
  <c r="P24" i="19"/>
  <c r="O24" i="19"/>
  <c r="M24" i="19"/>
  <c r="L24" i="19"/>
  <c r="K24" i="19"/>
  <c r="I24" i="19"/>
  <c r="H24" i="19"/>
  <c r="G24" i="19"/>
  <c r="E24" i="19"/>
  <c r="D24" i="19"/>
  <c r="C24" i="19"/>
  <c r="R23" i="19"/>
  <c r="Q23" i="19"/>
  <c r="P23" i="19"/>
  <c r="O23" i="19"/>
  <c r="M23" i="19"/>
  <c r="L23" i="19"/>
  <c r="K23" i="19"/>
  <c r="I23" i="19"/>
  <c r="H23" i="19"/>
  <c r="G23" i="19"/>
  <c r="E23" i="19"/>
  <c r="D23" i="19"/>
  <c r="C23" i="19"/>
  <c r="U22" i="19"/>
  <c r="R22" i="19"/>
  <c r="Q22" i="19"/>
  <c r="O22" i="19"/>
  <c r="M22" i="19"/>
  <c r="K22" i="19"/>
  <c r="I22" i="19"/>
  <c r="G22" i="19"/>
  <c r="F22" i="19"/>
  <c r="E22" i="19"/>
  <c r="C22" i="19"/>
  <c r="U21" i="19"/>
  <c r="O21" i="19" s="1"/>
  <c r="R21" i="19"/>
  <c r="N21" i="19"/>
  <c r="L21" i="19"/>
  <c r="H21" i="19"/>
  <c r="G21" i="19"/>
  <c r="C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U17" i="19"/>
  <c r="M17" i="19"/>
  <c r="Q16" i="19"/>
  <c r="P16" i="19"/>
  <c r="O16" i="19"/>
  <c r="M16" i="19"/>
  <c r="L16" i="19"/>
  <c r="K16" i="19"/>
  <c r="I16" i="19"/>
  <c r="H16" i="19"/>
  <c r="G16" i="19"/>
  <c r="E16" i="19"/>
  <c r="D16" i="19"/>
  <c r="C16" i="19"/>
  <c r="U13" i="19"/>
  <c r="M13" i="19" s="1"/>
  <c r="Q13" i="19"/>
  <c r="O13" i="19"/>
  <c r="K13" i="19"/>
  <c r="I13" i="19"/>
  <c r="E13" i="19"/>
  <c r="C13" i="19"/>
  <c r="U12" i="19"/>
  <c r="P12" i="19"/>
  <c r="O12" i="19"/>
  <c r="L12" i="19"/>
  <c r="K12" i="19"/>
  <c r="H12" i="19"/>
  <c r="G12" i="19"/>
  <c r="D12" i="19"/>
  <c r="C12" i="19"/>
  <c r="U11" i="19"/>
  <c r="U14" i="19" s="1"/>
  <c r="Q11" i="19"/>
  <c r="M11" i="19"/>
  <c r="L11" i="19"/>
  <c r="H11" i="19"/>
  <c r="G11" i="19"/>
  <c r="C11" i="19"/>
  <c r="Q10" i="19"/>
  <c r="P10" i="19"/>
  <c r="O10" i="19"/>
  <c r="M10" i="19"/>
  <c r="L10" i="19"/>
  <c r="K10" i="19"/>
  <c r="I10" i="19"/>
  <c r="H10" i="19"/>
  <c r="G10" i="19"/>
  <c r="E10" i="19"/>
  <c r="D10" i="19"/>
  <c r="C10" i="19"/>
  <c r="R9" i="19"/>
  <c r="R16" i="19" s="1"/>
  <c r="N9" i="19"/>
  <c r="N25" i="19" s="1"/>
  <c r="J9" i="19"/>
  <c r="F9" i="19"/>
  <c r="F25" i="19" s="1"/>
  <c r="M39" i="18"/>
  <c r="L39" i="18"/>
  <c r="K39" i="18"/>
  <c r="I39" i="18"/>
  <c r="H39" i="18"/>
  <c r="G39" i="18"/>
  <c r="E39" i="18"/>
  <c r="D39" i="18"/>
  <c r="C39" i="18"/>
  <c r="F39" i="18" s="1"/>
  <c r="N34" i="18"/>
  <c r="M34" i="18"/>
  <c r="L34" i="18"/>
  <c r="K34" i="18"/>
  <c r="J34" i="18"/>
  <c r="I34" i="18"/>
  <c r="H34" i="18"/>
  <c r="G34" i="18"/>
  <c r="F34" i="18"/>
  <c r="C34" i="18"/>
  <c r="M33" i="18"/>
  <c r="L33" i="18"/>
  <c r="K33" i="18"/>
  <c r="I33" i="18"/>
  <c r="H33" i="18"/>
  <c r="G33" i="18"/>
  <c r="E33" i="18"/>
  <c r="D33" i="18"/>
  <c r="C33" i="18"/>
  <c r="M32" i="18"/>
  <c r="L32" i="18"/>
  <c r="K32" i="18"/>
  <c r="I32" i="18"/>
  <c r="H32" i="18"/>
  <c r="G32" i="18"/>
  <c r="E32" i="18"/>
  <c r="D32" i="18"/>
  <c r="C32" i="18"/>
  <c r="F32" i="18" s="1"/>
  <c r="M31" i="18"/>
  <c r="L31" i="18"/>
  <c r="K31" i="18"/>
  <c r="I31" i="18"/>
  <c r="H31" i="18"/>
  <c r="G31" i="18"/>
  <c r="E31" i="18"/>
  <c r="D31" i="18"/>
  <c r="C31" i="18"/>
  <c r="F31" i="18" s="1"/>
  <c r="M30" i="18"/>
  <c r="L30" i="18"/>
  <c r="K30" i="18"/>
  <c r="I30" i="18"/>
  <c r="H30" i="18"/>
  <c r="G30" i="18"/>
  <c r="E30" i="18"/>
  <c r="D30" i="18"/>
  <c r="C30" i="18"/>
  <c r="M29" i="18"/>
  <c r="L29" i="18"/>
  <c r="K29" i="18"/>
  <c r="I29" i="18"/>
  <c r="H29" i="18"/>
  <c r="G29" i="18"/>
  <c r="C29" i="18"/>
  <c r="F29" i="18" s="1"/>
  <c r="N28" i="18"/>
  <c r="M28" i="18"/>
  <c r="L28" i="18"/>
  <c r="K28" i="18"/>
  <c r="J28" i="18"/>
  <c r="I28" i="18"/>
  <c r="H28" i="18"/>
  <c r="G28" i="18"/>
  <c r="F28" i="18"/>
  <c r="E28" i="18"/>
  <c r="D28" i="18"/>
  <c r="C28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N26" i="18"/>
  <c r="M26" i="18"/>
  <c r="L26" i="18"/>
  <c r="K26" i="18"/>
  <c r="J26" i="18"/>
  <c r="I26" i="18"/>
  <c r="H26" i="18"/>
  <c r="G26" i="18"/>
  <c r="F26" i="18"/>
  <c r="D26" i="18"/>
  <c r="C26" i="18"/>
  <c r="N25" i="18"/>
  <c r="M25" i="18"/>
  <c r="L25" i="18"/>
  <c r="K25" i="18"/>
  <c r="I25" i="18"/>
  <c r="H25" i="18"/>
  <c r="G25" i="18"/>
  <c r="E25" i="18"/>
  <c r="F25" i="18" s="1"/>
  <c r="D25" i="18"/>
  <c r="C25" i="18"/>
  <c r="N24" i="18"/>
  <c r="M24" i="18"/>
  <c r="L24" i="18"/>
  <c r="K24" i="18"/>
  <c r="I24" i="18"/>
  <c r="H24" i="18"/>
  <c r="G24" i="18"/>
  <c r="E24" i="18"/>
  <c r="F24" i="18" s="1"/>
  <c r="D24" i="18"/>
  <c r="C24" i="18"/>
  <c r="N23" i="18"/>
  <c r="M23" i="18"/>
  <c r="L23" i="18"/>
  <c r="K23" i="18"/>
  <c r="I23" i="18"/>
  <c r="H23" i="18"/>
  <c r="G23" i="18"/>
  <c r="E23" i="18"/>
  <c r="F23" i="18" s="1"/>
  <c r="D23" i="18"/>
  <c r="C23" i="18"/>
  <c r="U22" i="18"/>
  <c r="M22" i="18" s="1"/>
  <c r="N22" i="18"/>
  <c r="K22" i="18"/>
  <c r="J22" i="18"/>
  <c r="G22" i="18"/>
  <c r="C22" i="18"/>
  <c r="U21" i="18"/>
  <c r="K21" i="18" s="1"/>
  <c r="G21" i="18"/>
  <c r="C21" i="18"/>
  <c r="M20" i="18"/>
  <c r="L20" i="18"/>
  <c r="K20" i="18"/>
  <c r="I20" i="18"/>
  <c r="H20" i="18"/>
  <c r="G20" i="18"/>
  <c r="E20" i="18"/>
  <c r="D20" i="18"/>
  <c r="C20" i="18"/>
  <c r="F20" i="18" s="1"/>
  <c r="M19" i="18"/>
  <c r="L19" i="18"/>
  <c r="K19" i="18"/>
  <c r="I19" i="18"/>
  <c r="H19" i="18"/>
  <c r="G19" i="18"/>
  <c r="E19" i="18"/>
  <c r="D19" i="18"/>
  <c r="C19" i="18"/>
  <c r="F19" i="18" s="1"/>
  <c r="M18" i="18"/>
  <c r="L18" i="18"/>
  <c r="K18" i="18"/>
  <c r="I18" i="18"/>
  <c r="H18" i="18"/>
  <c r="G18" i="18"/>
  <c r="G35" i="18" s="1"/>
  <c r="E18" i="18"/>
  <c r="D18" i="18"/>
  <c r="C18" i="18"/>
  <c r="U17" i="18"/>
  <c r="N17" i="18" s="1"/>
  <c r="M17" i="18"/>
  <c r="L17" i="18"/>
  <c r="K17" i="18"/>
  <c r="I17" i="18"/>
  <c r="H17" i="18"/>
  <c r="G17" i="18"/>
  <c r="E17" i="18"/>
  <c r="D17" i="18"/>
  <c r="C17" i="18"/>
  <c r="M16" i="18"/>
  <c r="L16" i="18"/>
  <c r="K16" i="18"/>
  <c r="I16" i="18"/>
  <c r="H16" i="18"/>
  <c r="G16" i="18"/>
  <c r="E16" i="18"/>
  <c r="D16" i="18"/>
  <c r="C16" i="18"/>
  <c r="Q13" i="18"/>
  <c r="M13" i="18" s="1"/>
  <c r="K13" i="18"/>
  <c r="G13" i="18"/>
  <c r="C13" i="18"/>
  <c r="Q12" i="18"/>
  <c r="K12" i="18" s="1"/>
  <c r="G12" i="18"/>
  <c r="C12" i="18"/>
  <c r="Q11" i="18"/>
  <c r="Q14" i="18" s="1"/>
  <c r="M11" i="18"/>
  <c r="L11" i="18"/>
  <c r="K11" i="18"/>
  <c r="N11" i="18" s="1"/>
  <c r="I11" i="18"/>
  <c r="H11" i="18"/>
  <c r="G11" i="18"/>
  <c r="J11" i="18" s="1"/>
  <c r="E11" i="18"/>
  <c r="D11" i="18"/>
  <c r="C11" i="18"/>
  <c r="M10" i="18"/>
  <c r="L10" i="18"/>
  <c r="K10" i="18"/>
  <c r="I10" i="18"/>
  <c r="H10" i="18"/>
  <c r="G10" i="18"/>
  <c r="G14" i="18" s="1"/>
  <c r="E10" i="18"/>
  <c r="D10" i="18"/>
  <c r="C10" i="18"/>
  <c r="N9" i="18"/>
  <c r="N20" i="18" s="1"/>
  <c r="J9" i="18"/>
  <c r="J20" i="18" s="1"/>
  <c r="F9" i="18"/>
  <c r="Q39" i="6"/>
  <c r="P39" i="6"/>
  <c r="O39" i="6"/>
  <c r="R39" i="6" s="1"/>
  <c r="M39" i="6"/>
  <c r="L39" i="6"/>
  <c r="K39" i="6"/>
  <c r="N39" i="6" s="1"/>
  <c r="I39" i="6"/>
  <c r="H39" i="6"/>
  <c r="G39" i="6"/>
  <c r="J39" i="6" s="1"/>
  <c r="E39" i="6"/>
  <c r="D39" i="6"/>
  <c r="C39" i="6"/>
  <c r="F39" i="6" s="1"/>
  <c r="O35" i="6"/>
  <c r="Q34" i="6"/>
  <c r="P34" i="6"/>
  <c r="O34" i="6"/>
  <c r="M34" i="6"/>
  <c r="L34" i="6"/>
  <c r="K34" i="6"/>
  <c r="I34" i="6"/>
  <c r="H34" i="6"/>
  <c r="G34" i="6"/>
  <c r="F34" i="6"/>
  <c r="Q33" i="6"/>
  <c r="P33" i="6"/>
  <c r="O33" i="6"/>
  <c r="M33" i="6"/>
  <c r="L33" i="6"/>
  <c r="K33" i="6"/>
  <c r="I33" i="6"/>
  <c r="H33" i="6"/>
  <c r="G33" i="6"/>
  <c r="E33" i="6"/>
  <c r="D33" i="6"/>
  <c r="C33" i="6"/>
  <c r="F33" i="6" s="1"/>
  <c r="Q32" i="6"/>
  <c r="P32" i="6"/>
  <c r="O32" i="6"/>
  <c r="M32" i="6"/>
  <c r="L32" i="6"/>
  <c r="K32" i="6"/>
  <c r="I32" i="6"/>
  <c r="H32" i="6"/>
  <c r="G32" i="6"/>
  <c r="E32" i="6"/>
  <c r="D32" i="6"/>
  <c r="C32" i="6"/>
  <c r="F32" i="6" s="1"/>
  <c r="Q31" i="6"/>
  <c r="P31" i="6"/>
  <c r="O31" i="6"/>
  <c r="M31" i="6"/>
  <c r="L31" i="6"/>
  <c r="K31" i="6"/>
  <c r="I31" i="6"/>
  <c r="H31" i="6"/>
  <c r="G31" i="6"/>
  <c r="E31" i="6"/>
  <c r="D31" i="6"/>
  <c r="C31" i="6"/>
  <c r="F31" i="6" s="1"/>
  <c r="Q30" i="6"/>
  <c r="P30" i="6"/>
  <c r="O30" i="6"/>
  <c r="M30" i="6"/>
  <c r="L30" i="6"/>
  <c r="K30" i="6"/>
  <c r="I30" i="6"/>
  <c r="H30" i="6"/>
  <c r="G30" i="6"/>
  <c r="E30" i="6"/>
  <c r="D30" i="6"/>
  <c r="C30" i="6"/>
  <c r="F30" i="6" s="1"/>
  <c r="Q29" i="6"/>
  <c r="P29" i="6"/>
  <c r="O29" i="6"/>
  <c r="M29" i="6"/>
  <c r="L29" i="6"/>
  <c r="K29" i="6"/>
  <c r="I29" i="6"/>
  <c r="H29" i="6"/>
  <c r="G29" i="6"/>
  <c r="F29" i="6"/>
  <c r="Q28" i="6"/>
  <c r="P28" i="6"/>
  <c r="O28" i="6"/>
  <c r="N28" i="6"/>
  <c r="M28" i="6"/>
  <c r="L28" i="6"/>
  <c r="K28" i="6"/>
  <c r="J28" i="6"/>
  <c r="I28" i="6"/>
  <c r="H28" i="6"/>
  <c r="G28" i="6"/>
  <c r="E28" i="6"/>
  <c r="F28" i="6" s="1"/>
  <c r="D28" i="6"/>
  <c r="C28" i="6"/>
  <c r="Q27" i="6"/>
  <c r="P27" i="6"/>
  <c r="O27" i="6"/>
  <c r="N27" i="6"/>
  <c r="M27" i="6"/>
  <c r="L27" i="6"/>
  <c r="K27" i="6"/>
  <c r="J27" i="6"/>
  <c r="I27" i="6"/>
  <c r="H27" i="6"/>
  <c r="G27" i="6"/>
  <c r="E27" i="6"/>
  <c r="F27" i="6" s="1"/>
  <c r="D27" i="6"/>
  <c r="C27" i="6"/>
  <c r="Q26" i="6"/>
  <c r="P26" i="6"/>
  <c r="O26" i="6"/>
  <c r="N26" i="6"/>
  <c r="M26" i="6"/>
  <c r="L26" i="6"/>
  <c r="K26" i="6"/>
  <c r="J26" i="6"/>
  <c r="I26" i="6"/>
  <c r="H26" i="6"/>
  <c r="G26" i="6"/>
  <c r="D26" i="6"/>
  <c r="F26" i="6" s="1"/>
  <c r="Q25" i="6"/>
  <c r="P25" i="6"/>
  <c r="O25" i="6"/>
  <c r="M25" i="6"/>
  <c r="L25" i="6"/>
  <c r="K25" i="6"/>
  <c r="I25" i="6"/>
  <c r="H25" i="6"/>
  <c r="G25" i="6"/>
  <c r="E25" i="6"/>
  <c r="D25" i="6"/>
  <c r="C25" i="6"/>
  <c r="F25" i="6" s="1"/>
  <c r="Q24" i="6"/>
  <c r="P24" i="6"/>
  <c r="O24" i="6"/>
  <c r="M24" i="6"/>
  <c r="L24" i="6"/>
  <c r="K24" i="6"/>
  <c r="I24" i="6"/>
  <c r="H24" i="6"/>
  <c r="G24" i="6"/>
  <c r="E24" i="6"/>
  <c r="D24" i="6"/>
  <c r="C24" i="6"/>
  <c r="F24" i="6" s="1"/>
  <c r="Q23" i="6"/>
  <c r="P23" i="6"/>
  <c r="O23" i="6"/>
  <c r="M23" i="6"/>
  <c r="L23" i="6"/>
  <c r="K23" i="6"/>
  <c r="K35" i="6" s="1"/>
  <c r="I23" i="6"/>
  <c r="H23" i="6"/>
  <c r="G23" i="6"/>
  <c r="G35" i="6" s="1"/>
  <c r="E23" i="6"/>
  <c r="D23" i="6"/>
  <c r="C23" i="6"/>
  <c r="F23" i="6" s="1"/>
  <c r="U22" i="6"/>
  <c r="R22" i="6" s="1"/>
  <c r="Q22" i="6"/>
  <c r="P22" i="6"/>
  <c r="O22" i="6"/>
  <c r="M22" i="6"/>
  <c r="L22" i="6"/>
  <c r="K22" i="6"/>
  <c r="I22" i="6"/>
  <c r="H22" i="6"/>
  <c r="G22" i="6"/>
  <c r="E22" i="6"/>
  <c r="D22" i="6"/>
  <c r="C22" i="6"/>
  <c r="F22" i="6" s="1"/>
  <c r="U21" i="6"/>
  <c r="Q21" i="6"/>
  <c r="P21" i="6"/>
  <c r="O21" i="6"/>
  <c r="N21" i="6"/>
  <c r="M21" i="6"/>
  <c r="L21" i="6"/>
  <c r="K21" i="6"/>
  <c r="J21" i="6"/>
  <c r="I21" i="6"/>
  <c r="H21" i="6"/>
  <c r="G21" i="6"/>
  <c r="E21" i="6"/>
  <c r="F21" i="6" s="1"/>
  <c r="D21" i="6"/>
  <c r="C21" i="6"/>
  <c r="Q20" i="6"/>
  <c r="P20" i="6"/>
  <c r="O20" i="6"/>
  <c r="N20" i="6"/>
  <c r="M20" i="6"/>
  <c r="L20" i="6"/>
  <c r="K20" i="6"/>
  <c r="J20" i="6"/>
  <c r="I20" i="6"/>
  <c r="H20" i="6"/>
  <c r="G20" i="6"/>
  <c r="E20" i="6"/>
  <c r="F20" i="6" s="1"/>
  <c r="D20" i="6"/>
  <c r="C20" i="6"/>
  <c r="Q19" i="6"/>
  <c r="P19" i="6"/>
  <c r="O19" i="6"/>
  <c r="N19" i="6"/>
  <c r="M19" i="6"/>
  <c r="L19" i="6"/>
  <c r="K19" i="6"/>
  <c r="J19" i="6"/>
  <c r="I19" i="6"/>
  <c r="H19" i="6"/>
  <c r="G19" i="6"/>
  <c r="E19" i="6"/>
  <c r="F19" i="6" s="1"/>
  <c r="D19" i="6"/>
  <c r="C19" i="6"/>
  <c r="Q18" i="6"/>
  <c r="P18" i="6"/>
  <c r="O18" i="6"/>
  <c r="N18" i="6"/>
  <c r="M18" i="6"/>
  <c r="L18" i="6"/>
  <c r="K18" i="6"/>
  <c r="J18" i="6"/>
  <c r="I18" i="6"/>
  <c r="H18" i="6"/>
  <c r="G18" i="6"/>
  <c r="E18" i="6"/>
  <c r="F18" i="6" s="1"/>
  <c r="D18" i="6"/>
  <c r="C18" i="6"/>
  <c r="U17" i="6"/>
  <c r="Q17" i="6" s="1"/>
  <c r="O17" i="6"/>
  <c r="N17" i="6"/>
  <c r="K17" i="6"/>
  <c r="J17" i="6"/>
  <c r="G17" i="6"/>
  <c r="C17" i="6"/>
  <c r="Q16" i="6"/>
  <c r="Q35" i="6" s="1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U14" i="6"/>
  <c r="K14" i="6"/>
  <c r="K38" i="6" s="1"/>
  <c r="G14" i="6"/>
  <c r="G38" i="6" s="1"/>
  <c r="C14" i="6"/>
  <c r="C38" i="6" s="1"/>
  <c r="U13" i="6"/>
  <c r="Q13" i="6"/>
  <c r="P13" i="6"/>
  <c r="O13" i="6"/>
  <c r="M13" i="6"/>
  <c r="L13" i="6"/>
  <c r="K13" i="6"/>
  <c r="I13" i="6"/>
  <c r="H13" i="6"/>
  <c r="G13" i="6"/>
  <c r="J13" i="6" s="1"/>
  <c r="E13" i="6"/>
  <c r="D13" i="6"/>
  <c r="C13" i="6"/>
  <c r="F13" i="6" s="1"/>
  <c r="U12" i="6"/>
  <c r="Q12" i="6"/>
  <c r="R12" i="6" s="1"/>
  <c r="P12" i="6"/>
  <c r="O12" i="6"/>
  <c r="M12" i="6"/>
  <c r="N12" i="6" s="1"/>
  <c r="L12" i="6"/>
  <c r="K12" i="6"/>
  <c r="I12" i="6"/>
  <c r="J12" i="6" s="1"/>
  <c r="H12" i="6"/>
  <c r="G12" i="6"/>
  <c r="E12" i="6"/>
  <c r="F12" i="6" s="1"/>
  <c r="D12" i="6"/>
  <c r="C12" i="6"/>
  <c r="U11" i="6"/>
  <c r="Q11" i="6" s="1"/>
  <c r="K11" i="6"/>
  <c r="G11" i="6"/>
  <c r="C11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R9" i="6"/>
  <c r="R17" i="6" s="1"/>
  <c r="N9" i="6"/>
  <c r="N34" i="6" s="1"/>
  <c r="J9" i="6"/>
  <c r="J34" i="6" s="1"/>
  <c r="F9" i="6"/>
  <c r="P39" i="5"/>
  <c r="O39" i="5"/>
  <c r="L39" i="5"/>
  <c r="N39" i="5" s="1"/>
  <c r="J39" i="5"/>
  <c r="I39" i="5"/>
  <c r="H39" i="5"/>
  <c r="G39" i="5"/>
  <c r="F39" i="5"/>
  <c r="E39" i="5"/>
  <c r="D39" i="5"/>
  <c r="C39" i="5"/>
  <c r="Q34" i="5"/>
  <c r="P34" i="5"/>
  <c r="O34" i="5"/>
  <c r="L34" i="5"/>
  <c r="J34" i="5"/>
  <c r="I34" i="5"/>
  <c r="H34" i="5"/>
  <c r="G34" i="5"/>
  <c r="F34" i="5"/>
  <c r="R33" i="5"/>
  <c r="Q33" i="5"/>
  <c r="P33" i="5"/>
  <c r="O33" i="5"/>
  <c r="N33" i="5"/>
  <c r="L33" i="5"/>
  <c r="I33" i="5"/>
  <c r="H33" i="5"/>
  <c r="G33" i="5"/>
  <c r="E33" i="5"/>
  <c r="D33" i="5"/>
  <c r="F33" i="5" s="1"/>
  <c r="C33" i="5"/>
  <c r="Q32" i="5"/>
  <c r="P32" i="5"/>
  <c r="O32" i="5"/>
  <c r="L32" i="5"/>
  <c r="J32" i="5"/>
  <c r="I32" i="5"/>
  <c r="H32" i="5"/>
  <c r="G32" i="5"/>
  <c r="F32" i="5"/>
  <c r="E32" i="5"/>
  <c r="D32" i="5"/>
  <c r="C32" i="5"/>
  <c r="R31" i="5"/>
  <c r="Q31" i="5"/>
  <c r="P31" i="5"/>
  <c r="O31" i="5"/>
  <c r="N31" i="5"/>
  <c r="L31" i="5"/>
  <c r="I31" i="5"/>
  <c r="H31" i="5"/>
  <c r="G31" i="5"/>
  <c r="E31" i="5"/>
  <c r="D31" i="5"/>
  <c r="F31" i="5" s="1"/>
  <c r="C31" i="5"/>
  <c r="Q30" i="5"/>
  <c r="P30" i="5"/>
  <c r="O30" i="5"/>
  <c r="L30" i="5"/>
  <c r="J30" i="5"/>
  <c r="I30" i="5"/>
  <c r="H30" i="5"/>
  <c r="G30" i="5"/>
  <c r="F30" i="5"/>
  <c r="E30" i="5"/>
  <c r="D30" i="5"/>
  <c r="C30" i="5"/>
  <c r="R29" i="5"/>
  <c r="Q29" i="5"/>
  <c r="P29" i="5"/>
  <c r="O29" i="5"/>
  <c r="N29" i="5"/>
  <c r="L29" i="5"/>
  <c r="I29" i="5"/>
  <c r="H29" i="5"/>
  <c r="G29" i="5"/>
  <c r="F29" i="5"/>
  <c r="Q28" i="5"/>
  <c r="P28" i="5"/>
  <c r="O28" i="5"/>
  <c r="N28" i="5"/>
  <c r="L28" i="5"/>
  <c r="I28" i="5"/>
  <c r="H28" i="5"/>
  <c r="G28" i="5"/>
  <c r="E28" i="5"/>
  <c r="D28" i="5"/>
  <c r="C28" i="5"/>
  <c r="F28" i="5" s="1"/>
  <c r="Q27" i="5"/>
  <c r="P27" i="5"/>
  <c r="O27" i="5"/>
  <c r="L27" i="5"/>
  <c r="J27" i="5"/>
  <c r="I27" i="5"/>
  <c r="H27" i="5"/>
  <c r="G27" i="5"/>
  <c r="E27" i="5"/>
  <c r="F27" i="5" s="1"/>
  <c r="D27" i="5"/>
  <c r="C27" i="5"/>
  <c r="Q26" i="5"/>
  <c r="P26" i="5"/>
  <c r="O26" i="5"/>
  <c r="N26" i="5"/>
  <c r="L26" i="5"/>
  <c r="I26" i="5"/>
  <c r="H26" i="5"/>
  <c r="G26" i="5"/>
  <c r="D26" i="5"/>
  <c r="F26" i="5" s="1"/>
  <c r="Q25" i="5"/>
  <c r="P25" i="5"/>
  <c r="O25" i="5"/>
  <c r="N25" i="5"/>
  <c r="L25" i="5"/>
  <c r="I25" i="5"/>
  <c r="H25" i="5"/>
  <c r="G25" i="5"/>
  <c r="E25" i="5"/>
  <c r="D25" i="5"/>
  <c r="C25" i="5"/>
  <c r="F25" i="5" s="1"/>
  <c r="Q24" i="5"/>
  <c r="P24" i="5"/>
  <c r="O24" i="5"/>
  <c r="L24" i="5"/>
  <c r="J24" i="5"/>
  <c r="I24" i="5"/>
  <c r="H24" i="5"/>
  <c r="G24" i="5"/>
  <c r="E24" i="5"/>
  <c r="F24" i="5" s="1"/>
  <c r="D24" i="5"/>
  <c r="C24" i="5"/>
  <c r="Q23" i="5"/>
  <c r="P23" i="5"/>
  <c r="O23" i="5"/>
  <c r="N23" i="5"/>
  <c r="L23" i="5"/>
  <c r="I23" i="5"/>
  <c r="H23" i="5"/>
  <c r="G23" i="5"/>
  <c r="E23" i="5"/>
  <c r="D23" i="5"/>
  <c r="C23" i="5"/>
  <c r="F23" i="5" s="1"/>
  <c r="U22" i="5"/>
  <c r="Q22" i="5"/>
  <c r="P22" i="5"/>
  <c r="O22" i="5"/>
  <c r="L22" i="5"/>
  <c r="J22" i="5"/>
  <c r="I22" i="5"/>
  <c r="H22" i="5"/>
  <c r="G22" i="5"/>
  <c r="F22" i="5"/>
  <c r="E22" i="5"/>
  <c r="D22" i="5"/>
  <c r="C22" i="5"/>
  <c r="U21" i="5"/>
  <c r="O21" i="5"/>
  <c r="Q20" i="5"/>
  <c r="P20" i="5"/>
  <c r="O20" i="5"/>
  <c r="N20" i="5"/>
  <c r="L20" i="5"/>
  <c r="I20" i="5"/>
  <c r="H20" i="5"/>
  <c r="G20" i="5"/>
  <c r="E20" i="5"/>
  <c r="D20" i="5"/>
  <c r="C20" i="5"/>
  <c r="F20" i="5" s="1"/>
  <c r="Q19" i="5"/>
  <c r="P19" i="5"/>
  <c r="O19" i="5"/>
  <c r="L19" i="5"/>
  <c r="J19" i="5"/>
  <c r="I19" i="5"/>
  <c r="H19" i="5"/>
  <c r="G19" i="5"/>
  <c r="E19" i="5"/>
  <c r="F19" i="5" s="1"/>
  <c r="D19" i="5"/>
  <c r="C19" i="5"/>
  <c r="Q18" i="5"/>
  <c r="P18" i="5"/>
  <c r="O18" i="5"/>
  <c r="N18" i="5"/>
  <c r="L18" i="5"/>
  <c r="I18" i="5"/>
  <c r="H18" i="5"/>
  <c r="G18" i="5"/>
  <c r="E18" i="5"/>
  <c r="D18" i="5"/>
  <c r="C18" i="5"/>
  <c r="F18" i="5" s="1"/>
  <c r="U17" i="5"/>
  <c r="Q17" i="5"/>
  <c r="P17" i="5"/>
  <c r="O17" i="5"/>
  <c r="L17" i="5"/>
  <c r="J17" i="5"/>
  <c r="I17" i="5"/>
  <c r="H17" i="5"/>
  <c r="G17" i="5"/>
  <c r="F17" i="5"/>
  <c r="E17" i="5"/>
  <c r="D17" i="5"/>
  <c r="C17" i="5"/>
  <c r="R16" i="5"/>
  <c r="Q16" i="5"/>
  <c r="P16" i="5"/>
  <c r="O16" i="5"/>
  <c r="O35" i="5" s="1"/>
  <c r="N16" i="5"/>
  <c r="L16" i="5"/>
  <c r="I16" i="5"/>
  <c r="H16" i="5"/>
  <c r="G16" i="5"/>
  <c r="E16" i="5"/>
  <c r="D16" i="5"/>
  <c r="C16" i="5"/>
  <c r="F16" i="5" s="1"/>
  <c r="Q14" i="5"/>
  <c r="C14" i="5"/>
  <c r="C38" i="5" s="1"/>
  <c r="U13" i="5"/>
  <c r="P13" i="5"/>
  <c r="O13" i="5"/>
  <c r="R13" i="5" s="1"/>
  <c r="L13" i="5"/>
  <c r="N13" i="5" s="1"/>
  <c r="I13" i="5"/>
  <c r="J13" i="5" s="1"/>
  <c r="H13" i="5"/>
  <c r="G13" i="5"/>
  <c r="E13" i="5"/>
  <c r="F13" i="5" s="1"/>
  <c r="D13" i="5"/>
  <c r="C13" i="5"/>
  <c r="U12" i="5"/>
  <c r="P12" i="5" s="1"/>
  <c r="L12" i="5"/>
  <c r="N12" i="5" s="1"/>
  <c r="H12" i="5"/>
  <c r="H14" i="5" s="1"/>
  <c r="G12" i="5"/>
  <c r="D12" i="5"/>
  <c r="D14" i="5" s="1"/>
  <c r="C12" i="5"/>
  <c r="U11" i="5"/>
  <c r="U14" i="5" s="1"/>
  <c r="P11" i="5"/>
  <c r="O11" i="5"/>
  <c r="R11" i="5" s="1"/>
  <c r="I11" i="5"/>
  <c r="J11" i="5" s="1"/>
  <c r="H11" i="5"/>
  <c r="G11" i="5"/>
  <c r="E11" i="5"/>
  <c r="F11" i="5" s="1"/>
  <c r="D11" i="5"/>
  <c r="C11" i="5"/>
  <c r="P10" i="5"/>
  <c r="O10" i="5"/>
  <c r="L10" i="5"/>
  <c r="N10" i="5" s="1"/>
  <c r="J10" i="5"/>
  <c r="I10" i="5"/>
  <c r="H10" i="5"/>
  <c r="G10" i="5"/>
  <c r="F10" i="5"/>
  <c r="E10" i="5"/>
  <c r="D10" i="5"/>
  <c r="C10" i="5"/>
  <c r="R9" i="5"/>
  <c r="N9" i="5"/>
  <c r="N34" i="5" s="1"/>
  <c r="J9" i="5"/>
  <c r="J28" i="5" s="1"/>
  <c r="F9" i="5"/>
  <c r="Q39" i="40"/>
  <c r="P39" i="40"/>
  <c r="O39" i="40"/>
  <c r="M39" i="40"/>
  <c r="N39" i="40" s="1"/>
  <c r="L39" i="40"/>
  <c r="K39" i="40"/>
  <c r="I39" i="40"/>
  <c r="J39" i="40" s="1"/>
  <c r="H39" i="40"/>
  <c r="G39" i="40"/>
  <c r="E39" i="40"/>
  <c r="F39" i="40" s="1"/>
  <c r="D39" i="40"/>
  <c r="C39" i="40"/>
  <c r="R34" i="40"/>
  <c r="Q34" i="40"/>
  <c r="P34" i="40"/>
  <c r="O34" i="40"/>
  <c r="N34" i="40"/>
  <c r="M34" i="40"/>
  <c r="L34" i="40"/>
  <c r="K34" i="40"/>
  <c r="I34" i="40"/>
  <c r="H34" i="40"/>
  <c r="G34" i="40"/>
  <c r="F34" i="40"/>
  <c r="R33" i="40"/>
  <c r="Q33" i="40"/>
  <c r="P33" i="40"/>
  <c r="O33" i="40"/>
  <c r="N33" i="40"/>
  <c r="M33" i="40"/>
  <c r="L33" i="40"/>
  <c r="K33" i="40"/>
  <c r="I33" i="40"/>
  <c r="H33" i="40"/>
  <c r="G33" i="40"/>
  <c r="E33" i="40"/>
  <c r="D33" i="40"/>
  <c r="C33" i="40"/>
  <c r="F33" i="40" s="1"/>
  <c r="R32" i="40"/>
  <c r="Q32" i="40"/>
  <c r="P32" i="40"/>
  <c r="O32" i="40"/>
  <c r="N32" i="40"/>
  <c r="M32" i="40"/>
  <c r="L32" i="40"/>
  <c r="K32" i="40"/>
  <c r="I32" i="40"/>
  <c r="H32" i="40"/>
  <c r="G32" i="40"/>
  <c r="E32" i="40"/>
  <c r="D32" i="40"/>
  <c r="C32" i="40"/>
  <c r="F32" i="40" s="1"/>
  <c r="R31" i="40"/>
  <c r="Q31" i="40"/>
  <c r="P31" i="40"/>
  <c r="O31" i="40"/>
  <c r="N31" i="40"/>
  <c r="M31" i="40"/>
  <c r="L31" i="40"/>
  <c r="K31" i="40"/>
  <c r="I31" i="40"/>
  <c r="H31" i="40"/>
  <c r="G31" i="40"/>
  <c r="E31" i="40"/>
  <c r="D31" i="40"/>
  <c r="C31" i="40"/>
  <c r="F31" i="40" s="1"/>
  <c r="R30" i="40"/>
  <c r="Q30" i="40"/>
  <c r="P30" i="40"/>
  <c r="O30" i="40"/>
  <c r="N30" i="40"/>
  <c r="M30" i="40"/>
  <c r="L30" i="40"/>
  <c r="K30" i="40"/>
  <c r="I30" i="40"/>
  <c r="H30" i="40"/>
  <c r="G30" i="40"/>
  <c r="E30" i="40"/>
  <c r="D30" i="40"/>
  <c r="C30" i="40"/>
  <c r="F30" i="40" s="1"/>
  <c r="R29" i="40"/>
  <c r="Q29" i="40"/>
  <c r="P29" i="40"/>
  <c r="O29" i="40"/>
  <c r="N29" i="40"/>
  <c r="M29" i="40"/>
  <c r="L29" i="40"/>
  <c r="K29" i="40"/>
  <c r="I29" i="40"/>
  <c r="H29" i="40"/>
  <c r="G29" i="40"/>
  <c r="F29" i="40"/>
  <c r="Q28" i="40"/>
  <c r="P28" i="40"/>
  <c r="O28" i="40"/>
  <c r="M28" i="40"/>
  <c r="L28" i="40"/>
  <c r="K28" i="40"/>
  <c r="I28" i="40"/>
  <c r="H28" i="40"/>
  <c r="G28" i="40"/>
  <c r="E28" i="40"/>
  <c r="D28" i="40"/>
  <c r="C28" i="40"/>
  <c r="Q27" i="40"/>
  <c r="P27" i="40"/>
  <c r="O27" i="40"/>
  <c r="M27" i="40"/>
  <c r="L27" i="40"/>
  <c r="K27" i="40"/>
  <c r="I27" i="40"/>
  <c r="H27" i="40"/>
  <c r="G27" i="40"/>
  <c r="E27" i="40"/>
  <c r="D27" i="40"/>
  <c r="C27" i="40"/>
  <c r="Q26" i="40"/>
  <c r="P26" i="40"/>
  <c r="O26" i="40"/>
  <c r="M26" i="40"/>
  <c r="L26" i="40"/>
  <c r="K26" i="40"/>
  <c r="I26" i="40"/>
  <c r="H26" i="40"/>
  <c r="G26" i="40"/>
  <c r="D26" i="40"/>
  <c r="F26" i="40" s="1"/>
  <c r="R25" i="40"/>
  <c r="Q25" i="40"/>
  <c r="P25" i="40"/>
  <c r="O25" i="40"/>
  <c r="N25" i="40"/>
  <c r="M25" i="40"/>
  <c r="L25" i="40"/>
  <c r="K25" i="40"/>
  <c r="I25" i="40"/>
  <c r="H25" i="40"/>
  <c r="G25" i="40"/>
  <c r="F25" i="40"/>
  <c r="E25" i="40"/>
  <c r="D25" i="40"/>
  <c r="C25" i="40"/>
  <c r="R24" i="40"/>
  <c r="Q24" i="40"/>
  <c r="P24" i="40"/>
  <c r="O24" i="40"/>
  <c r="N24" i="40"/>
  <c r="M24" i="40"/>
  <c r="L24" i="40"/>
  <c r="K24" i="40"/>
  <c r="I24" i="40"/>
  <c r="H24" i="40"/>
  <c r="G24" i="40"/>
  <c r="F24" i="40"/>
  <c r="E24" i="40"/>
  <c r="D24" i="40"/>
  <c r="C24" i="40"/>
  <c r="R23" i="40"/>
  <c r="Q23" i="40"/>
  <c r="P23" i="40"/>
  <c r="O23" i="40"/>
  <c r="N23" i="40"/>
  <c r="M23" i="40"/>
  <c r="L23" i="40"/>
  <c r="K23" i="40"/>
  <c r="I23" i="40"/>
  <c r="H23" i="40"/>
  <c r="G23" i="40"/>
  <c r="F23" i="40"/>
  <c r="E23" i="40"/>
  <c r="D23" i="40"/>
  <c r="C23" i="40"/>
  <c r="U22" i="40"/>
  <c r="R22" i="40" s="1"/>
  <c r="O22" i="40"/>
  <c r="N22" i="40"/>
  <c r="K22" i="40"/>
  <c r="G22" i="40"/>
  <c r="C22" i="40"/>
  <c r="U21" i="40"/>
  <c r="P21" i="40"/>
  <c r="O21" i="40"/>
  <c r="L21" i="40"/>
  <c r="K21" i="40"/>
  <c r="H21" i="40"/>
  <c r="G21" i="40"/>
  <c r="D21" i="40"/>
  <c r="C21" i="40"/>
  <c r="Q20" i="40"/>
  <c r="P20" i="40"/>
  <c r="O20" i="40"/>
  <c r="M20" i="40"/>
  <c r="L20" i="40"/>
  <c r="K20" i="40"/>
  <c r="I20" i="40"/>
  <c r="H20" i="40"/>
  <c r="G20" i="40"/>
  <c r="E20" i="40"/>
  <c r="D20" i="40"/>
  <c r="C20" i="40"/>
  <c r="Q19" i="40"/>
  <c r="P19" i="40"/>
  <c r="O19" i="40"/>
  <c r="M19" i="40"/>
  <c r="L19" i="40"/>
  <c r="K19" i="40"/>
  <c r="I19" i="40"/>
  <c r="H19" i="40"/>
  <c r="G19" i="40"/>
  <c r="E19" i="40"/>
  <c r="D19" i="40"/>
  <c r="C19" i="40"/>
  <c r="Q18" i="40"/>
  <c r="P18" i="40"/>
  <c r="O18" i="40"/>
  <c r="M18" i="40"/>
  <c r="L18" i="40"/>
  <c r="K18" i="40"/>
  <c r="I18" i="40"/>
  <c r="H18" i="40"/>
  <c r="G18" i="40"/>
  <c r="E18" i="40"/>
  <c r="D18" i="40"/>
  <c r="C18" i="40"/>
  <c r="U17" i="40"/>
  <c r="Q17" i="40"/>
  <c r="P17" i="40"/>
  <c r="O17" i="40"/>
  <c r="M17" i="40"/>
  <c r="L17" i="40"/>
  <c r="K17" i="40"/>
  <c r="I17" i="40"/>
  <c r="H17" i="40"/>
  <c r="G17" i="40"/>
  <c r="E17" i="40"/>
  <c r="D17" i="40"/>
  <c r="C17" i="40"/>
  <c r="Q16" i="40"/>
  <c r="P16" i="40"/>
  <c r="O16" i="40"/>
  <c r="M16" i="40"/>
  <c r="L16" i="40"/>
  <c r="K16" i="40"/>
  <c r="I16" i="40"/>
  <c r="H16" i="40"/>
  <c r="G16" i="40"/>
  <c r="G35" i="40" s="1"/>
  <c r="E16" i="40"/>
  <c r="D16" i="40"/>
  <c r="C16" i="40"/>
  <c r="C35" i="40" s="1"/>
  <c r="U13" i="40"/>
  <c r="Q13" i="40" s="1"/>
  <c r="P13" i="40"/>
  <c r="M13" i="40"/>
  <c r="L13" i="40"/>
  <c r="H13" i="40"/>
  <c r="E13" i="40"/>
  <c r="D13" i="40"/>
  <c r="U12" i="40"/>
  <c r="Q12" i="40" s="1"/>
  <c r="R12" i="40"/>
  <c r="P12" i="40"/>
  <c r="O12" i="40"/>
  <c r="L12" i="40"/>
  <c r="K12" i="40"/>
  <c r="H12" i="40"/>
  <c r="G12" i="40"/>
  <c r="D12" i="40"/>
  <c r="C12" i="40"/>
  <c r="U11" i="40"/>
  <c r="O11" i="40" s="1"/>
  <c r="C11" i="40"/>
  <c r="Q10" i="40"/>
  <c r="P10" i="40"/>
  <c r="O10" i="40"/>
  <c r="R10" i="40" s="1"/>
  <c r="M10" i="40"/>
  <c r="L10" i="40"/>
  <c r="K10" i="40"/>
  <c r="I10" i="40"/>
  <c r="H10" i="40"/>
  <c r="G10" i="40"/>
  <c r="E10" i="40"/>
  <c r="D10" i="40"/>
  <c r="C10" i="40"/>
  <c r="F10" i="40" s="1"/>
  <c r="R9" i="40"/>
  <c r="R28" i="40" s="1"/>
  <c r="N9" i="40"/>
  <c r="N28" i="40" s="1"/>
  <c r="J9" i="40"/>
  <c r="F9" i="40"/>
  <c r="R11" i="40" l="1"/>
  <c r="R14" i="40" s="1"/>
  <c r="F12" i="40"/>
  <c r="K11" i="40"/>
  <c r="C38" i="38"/>
  <c r="L36" i="38"/>
  <c r="L38" i="38"/>
  <c r="N38" i="38" s="1"/>
  <c r="O35" i="38"/>
  <c r="O36" i="38" s="1"/>
  <c r="J28" i="40"/>
  <c r="J27" i="40"/>
  <c r="J26" i="40"/>
  <c r="J20" i="40"/>
  <c r="J19" i="40"/>
  <c r="J18" i="40"/>
  <c r="J17" i="40"/>
  <c r="J16" i="40"/>
  <c r="J34" i="40"/>
  <c r="L11" i="40"/>
  <c r="P14" i="5"/>
  <c r="R10" i="5"/>
  <c r="R21" i="5"/>
  <c r="N21" i="5"/>
  <c r="H21" i="5"/>
  <c r="D21" i="5"/>
  <c r="D35" i="5" s="1"/>
  <c r="D36" i="5" s="1"/>
  <c r="Q21" i="5"/>
  <c r="Q35" i="5" s="1"/>
  <c r="Q36" i="5" s="1"/>
  <c r="L21" i="5"/>
  <c r="L35" i="5" s="1"/>
  <c r="G21" i="5"/>
  <c r="G35" i="5" s="1"/>
  <c r="C21" i="5"/>
  <c r="P21" i="5"/>
  <c r="P35" i="5" s="1"/>
  <c r="J21" i="5"/>
  <c r="J12" i="18"/>
  <c r="F18" i="18"/>
  <c r="C35" i="18"/>
  <c r="R17" i="19"/>
  <c r="N17" i="19"/>
  <c r="J17" i="19"/>
  <c r="F17" i="19"/>
  <c r="Q17" i="19"/>
  <c r="L17" i="19"/>
  <c r="L35" i="19" s="1"/>
  <c r="G17" i="19"/>
  <c r="G35" i="19" s="1"/>
  <c r="I17" i="19"/>
  <c r="P17" i="19"/>
  <c r="P35" i="19" s="1"/>
  <c r="K17" i="19"/>
  <c r="K35" i="19" s="1"/>
  <c r="E17" i="19"/>
  <c r="E35" i="19" s="1"/>
  <c r="O17" i="19"/>
  <c r="D17" i="19"/>
  <c r="H14" i="21"/>
  <c r="L38" i="23"/>
  <c r="J10" i="30"/>
  <c r="G14" i="30"/>
  <c r="E14" i="40"/>
  <c r="N10" i="40"/>
  <c r="G11" i="40"/>
  <c r="I13" i="40"/>
  <c r="O35" i="40"/>
  <c r="F17" i="40"/>
  <c r="F18" i="40"/>
  <c r="F19" i="40"/>
  <c r="F20" i="40"/>
  <c r="F21" i="40"/>
  <c r="R21" i="40"/>
  <c r="N21" i="40"/>
  <c r="J21" i="40"/>
  <c r="Q21" i="40"/>
  <c r="Q35" i="40" s="1"/>
  <c r="M21" i="40"/>
  <c r="M35" i="40" s="1"/>
  <c r="I21" i="40"/>
  <c r="E21" i="40"/>
  <c r="J22" i="40"/>
  <c r="F27" i="40"/>
  <c r="F28" i="40"/>
  <c r="J29" i="40"/>
  <c r="J30" i="40"/>
  <c r="J31" i="40"/>
  <c r="J32" i="40"/>
  <c r="J33" i="40"/>
  <c r="R34" i="5"/>
  <c r="R27" i="5"/>
  <c r="R24" i="5"/>
  <c r="R19" i="5"/>
  <c r="R35" i="5" s="1"/>
  <c r="R28" i="5"/>
  <c r="R25" i="5"/>
  <c r="R18" i="5"/>
  <c r="R32" i="5"/>
  <c r="R30" i="5"/>
  <c r="R22" i="5"/>
  <c r="R17" i="5"/>
  <c r="R26" i="5"/>
  <c r="R23" i="5"/>
  <c r="R20" i="5"/>
  <c r="H36" i="5"/>
  <c r="H38" i="5"/>
  <c r="E35" i="5"/>
  <c r="E21" i="5"/>
  <c r="C35" i="5"/>
  <c r="C36" i="5" s="1"/>
  <c r="E14" i="6"/>
  <c r="Q14" i="6"/>
  <c r="R13" i="6"/>
  <c r="R16" i="6"/>
  <c r="C35" i="6"/>
  <c r="C36" i="6" s="1"/>
  <c r="F11" i="18"/>
  <c r="F16" i="18"/>
  <c r="F33" i="18"/>
  <c r="M35" i="19"/>
  <c r="C17" i="19"/>
  <c r="C35" i="19" s="1"/>
  <c r="I21" i="20"/>
  <c r="E21" i="20"/>
  <c r="H21" i="20"/>
  <c r="H35" i="20" s="1"/>
  <c r="D21" i="20"/>
  <c r="J21" i="20"/>
  <c r="F21" i="20"/>
  <c r="G21" i="20"/>
  <c r="G35" i="20" s="1"/>
  <c r="D38" i="25"/>
  <c r="D36" i="25"/>
  <c r="F11" i="40"/>
  <c r="F14" i="40" s="1"/>
  <c r="U14" i="40"/>
  <c r="Q11" i="40"/>
  <c r="M11" i="40"/>
  <c r="M14" i="40" s="1"/>
  <c r="I11" i="40"/>
  <c r="I14" i="40" s="1"/>
  <c r="E11" i="40"/>
  <c r="D38" i="5"/>
  <c r="H35" i="5"/>
  <c r="K36" i="6"/>
  <c r="G38" i="18"/>
  <c r="G36" i="18"/>
  <c r="E35" i="18"/>
  <c r="F10" i="21"/>
  <c r="C14" i="21"/>
  <c r="G38" i="38"/>
  <c r="G35" i="38"/>
  <c r="G36" i="38" s="1"/>
  <c r="D11" i="40"/>
  <c r="D14" i="40" s="1"/>
  <c r="H35" i="40"/>
  <c r="G14" i="5"/>
  <c r="I35" i="5"/>
  <c r="C14" i="18"/>
  <c r="J10" i="19"/>
  <c r="J11" i="20"/>
  <c r="J14" i="20" s="1"/>
  <c r="J10" i="40"/>
  <c r="L14" i="40"/>
  <c r="Q14" i="40"/>
  <c r="H11" i="40"/>
  <c r="H14" i="40" s="1"/>
  <c r="P11" i="40"/>
  <c r="P14" i="40" s="1"/>
  <c r="O13" i="40"/>
  <c r="R13" i="40" s="1"/>
  <c r="K13" i="40"/>
  <c r="N13" i="40" s="1"/>
  <c r="G13" i="40"/>
  <c r="J13" i="40" s="1"/>
  <c r="C13" i="40"/>
  <c r="F13" i="40" s="1"/>
  <c r="K35" i="40"/>
  <c r="P35" i="40"/>
  <c r="Q22" i="40"/>
  <c r="M22" i="40"/>
  <c r="I22" i="40"/>
  <c r="E22" i="40"/>
  <c r="E35" i="40" s="1"/>
  <c r="P22" i="40"/>
  <c r="L22" i="40"/>
  <c r="L35" i="40" s="1"/>
  <c r="H22" i="40"/>
  <c r="D22" i="40"/>
  <c r="J23" i="40"/>
  <c r="J24" i="40"/>
  <c r="J25" i="40"/>
  <c r="I21" i="5"/>
  <c r="R34" i="6"/>
  <c r="R25" i="6"/>
  <c r="R24" i="6"/>
  <c r="R23" i="6"/>
  <c r="R28" i="6"/>
  <c r="R27" i="6"/>
  <c r="R26" i="6"/>
  <c r="R33" i="6"/>
  <c r="R32" i="6"/>
  <c r="R31" i="6"/>
  <c r="R30" i="6"/>
  <c r="R29" i="6"/>
  <c r="R21" i="6"/>
  <c r="R20" i="6"/>
  <c r="R19" i="6"/>
  <c r="R18" i="6"/>
  <c r="N13" i="6"/>
  <c r="G36" i="6"/>
  <c r="K14" i="18"/>
  <c r="H12" i="18"/>
  <c r="H14" i="18" s="1"/>
  <c r="M12" i="18"/>
  <c r="M14" i="18" s="1"/>
  <c r="I12" i="18"/>
  <c r="E12" i="18"/>
  <c r="L12" i="18"/>
  <c r="N12" i="18" s="1"/>
  <c r="D12" i="18"/>
  <c r="D14" i="18" s="1"/>
  <c r="F17" i="18"/>
  <c r="K35" i="18"/>
  <c r="N21" i="18"/>
  <c r="J21" i="18"/>
  <c r="H21" i="18"/>
  <c r="H35" i="18" s="1"/>
  <c r="M21" i="18"/>
  <c r="M35" i="18" s="1"/>
  <c r="I21" i="18"/>
  <c r="I35" i="18" s="1"/>
  <c r="E21" i="18"/>
  <c r="L21" i="18"/>
  <c r="D21" i="18"/>
  <c r="D35" i="18" s="1"/>
  <c r="F30" i="18"/>
  <c r="H17" i="19"/>
  <c r="H35" i="19" s="1"/>
  <c r="J10" i="21"/>
  <c r="C36" i="24"/>
  <c r="C38" i="24"/>
  <c r="J24" i="18"/>
  <c r="C14" i="19"/>
  <c r="F10" i="19"/>
  <c r="C35" i="20"/>
  <c r="C36" i="20" s="1"/>
  <c r="J20" i="27"/>
  <c r="J19" i="27"/>
  <c r="J18" i="27"/>
  <c r="J17" i="27"/>
  <c r="J16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F10" i="27"/>
  <c r="F16" i="40"/>
  <c r="N16" i="40"/>
  <c r="R16" i="40"/>
  <c r="N17" i="40"/>
  <c r="R17" i="40"/>
  <c r="R39" i="40"/>
  <c r="L11" i="5"/>
  <c r="E12" i="5"/>
  <c r="E14" i="5" s="1"/>
  <c r="I12" i="5"/>
  <c r="I14" i="5" s="1"/>
  <c r="O12" i="5"/>
  <c r="R12" i="5" s="1"/>
  <c r="R14" i="5" s="1"/>
  <c r="R36" i="5" s="1"/>
  <c r="J16" i="5"/>
  <c r="N17" i="5"/>
  <c r="N22" i="5"/>
  <c r="J29" i="5"/>
  <c r="N30" i="5"/>
  <c r="J31" i="5"/>
  <c r="N32" i="5"/>
  <c r="J33" i="5"/>
  <c r="D11" i="6"/>
  <c r="H11" i="6"/>
  <c r="L11" i="6"/>
  <c r="P11" i="6"/>
  <c r="P14" i="6" s="1"/>
  <c r="D17" i="6"/>
  <c r="H17" i="6"/>
  <c r="H35" i="6" s="1"/>
  <c r="L17" i="6"/>
  <c r="L35" i="6" s="1"/>
  <c r="P17" i="6"/>
  <c r="P35" i="6" s="1"/>
  <c r="J22" i="6"/>
  <c r="J35" i="6" s="1"/>
  <c r="N22" i="6"/>
  <c r="J29" i="6"/>
  <c r="N29" i="6"/>
  <c r="J30" i="6"/>
  <c r="N30" i="6"/>
  <c r="J31" i="6"/>
  <c r="N31" i="6"/>
  <c r="J32" i="6"/>
  <c r="N32" i="6"/>
  <c r="J33" i="6"/>
  <c r="N33" i="6"/>
  <c r="F10" i="18"/>
  <c r="J10" i="18"/>
  <c r="N10" i="18"/>
  <c r="D13" i="18"/>
  <c r="F13" i="18" s="1"/>
  <c r="H13" i="18"/>
  <c r="L13" i="18"/>
  <c r="N13" i="18" s="1"/>
  <c r="J16" i="18"/>
  <c r="N16" i="18"/>
  <c r="J17" i="18"/>
  <c r="D22" i="18"/>
  <c r="H22" i="18"/>
  <c r="L22" i="18"/>
  <c r="L35" i="18" s="1"/>
  <c r="J29" i="18"/>
  <c r="N29" i="18"/>
  <c r="J30" i="18"/>
  <c r="N30" i="18"/>
  <c r="J31" i="18"/>
  <c r="N31" i="18"/>
  <c r="J32" i="18"/>
  <c r="N32" i="18"/>
  <c r="J33" i="18"/>
  <c r="N33" i="18"/>
  <c r="N39" i="18"/>
  <c r="J16" i="19"/>
  <c r="J34" i="19"/>
  <c r="J33" i="19"/>
  <c r="J32" i="19"/>
  <c r="J31" i="19"/>
  <c r="J30" i="19"/>
  <c r="J29" i="19"/>
  <c r="J28" i="19"/>
  <c r="J27" i="19"/>
  <c r="J26" i="19"/>
  <c r="R10" i="19"/>
  <c r="D11" i="19"/>
  <c r="D14" i="19" s="1"/>
  <c r="I11" i="19"/>
  <c r="J11" i="19" s="1"/>
  <c r="O11" i="19"/>
  <c r="Q12" i="19"/>
  <c r="R12" i="19" s="1"/>
  <c r="M12" i="19"/>
  <c r="N12" i="19" s="1"/>
  <c r="I12" i="19"/>
  <c r="J12" i="19" s="1"/>
  <c r="E12" i="19"/>
  <c r="F12" i="19" s="1"/>
  <c r="G13" i="19"/>
  <c r="J13" i="19" s="1"/>
  <c r="D21" i="19"/>
  <c r="J21" i="19"/>
  <c r="N22" i="19"/>
  <c r="P22" i="19"/>
  <c r="L22" i="19"/>
  <c r="H22" i="19"/>
  <c r="D22" i="19"/>
  <c r="D35" i="19" s="1"/>
  <c r="F23" i="19"/>
  <c r="J23" i="19"/>
  <c r="N23" i="19"/>
  <c r="F24" i="19"/>
  <c r="J24" i="19"/>
  <c r="N24" i="19"/>
  <c r="J25" i="19"/>
  <c r="F39" i="19"/>
  <c r="J16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F10" i="20"/>
  <c r="J22" i="20"/>
  <c r="J13" i="21"/>
  <c r="D35" i="21"/>
  <c r="H35" i="21"/>
  <c r="H21" i="21"/>
  <c r="D21" i="21"/>
  <c r="J21" i="21"/>
  <c r="E21" i="21"/>
  <c r="I21" i="21"/>
  <c r="C21" i="21"/>
  <c r="J39" i="21"/>
  <c r="J34" i="23"/>
  <c r="J33" i="23"/>
  <c r="J32" i="23"/>
  <c r="J31" i="23"/>
  <c r="J30" i="23"/>
  <c r="J29" i="23"/>
  <c r="J28" i="23"/>
  <c r="J27" i="23"/>
  <c r="J26" i="23"/>
  <c r="J25" i="23"/>
  <c r="J24" i="23"/>
  <c r="J23" i="23"/>
  <c r="J14" i="23"/>
  <c r="J16" i="23"/>
  <c r="J21" i="23"/>
  <c r="J20" i="23"/>
  <c r="J19" i="23"/>
  <c r="J18" i="23"/>
  <c r="E14" i="23"/>
  <c r="I38" i="23"/>
  <c r="M38" i="23"/>
  <c r="K38" i="23"/>
  <c r="N38" i="23" s="1"/>
  <c r="N22" i="23"/>
  <c r="F16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0" i="41"/>
  <c r="F19" i="41"/>
  <c r="F18" i="41"/>
  <c r="G35" i="41"/>
  <c r="K35" i="41"/>
  <c r="O11" i="6"/>
  <c r="J23" i="18"/>
  <c r="J25" i="18"/>
  <c r="F16" i="19"/>
  <c r="F34" i="19"/>
  <c r="F33" i="19"/>
  <c r="F32" i="19"/>
  <c r="F31" i="19"/>
  <c r="F30" i="19"/>
  <c r="F29" i="19"/>
  <c r="F28" i="19"/>
  <c r="F27" i="19"/>
  <c r="F26" i="19"/>
  <c r="O35" i="19"/>
  <c r="Q21" i="19"/>
  <c r="M21" i="19"/>
  <c r="I21" i="19"/>
  <c r="E21" i="19"/>
  <c r="F35" i="20"/>
  <c r="H38" i="23"/>
  <c r="M21" i="41"/>
  <c r="I21" i="41"/>
  <c r="E21" i="41"/>
  <c r="L21" i="41"/>
  <c r="H21" i="41"/>
  <c r="D21" i="41"/>
  <c r="D35" i="41" s="1"/>
  <c r="N21" i="41"/>
  <c r="F21" i="41"/>
  <c r="K21" i="41"/>
  <c r="C21" i="41"/>
  <c r="C35" i="41" s="1"/>
  <c r="J21" i="41"/>
  <c r="G14" i="27"/>
  <c r="E12" i="40"/>
  <c r="I12" i="40"/>
  <c r="J12" i="40" s="1"/>
  <c r="M12" i="40"/>
  <c r="N12" i="40" s="1"/>
  <c r="S12" i="40" s="1"/>
  <c r="N18" i="40"/>
  <c r="R18" i="40"/>
  <c r="N19" i="40"/>
  <c r="R19" i="40"/>
  <c r="N20" i="40"/>
  <c r="R20" i="40"/>
  <c r="N26" i="40"/>
  <c r="R26" i="40"/>
  <c r="N27" i="40"/>
  <c r="R27" i="40"/>
  <c r="J18" i="5"/>
  <c r="N19" i="5"/>
  <c r="J20" i="5"/>
  <c r="J23" i="5"/>
  <c r="N24" i="5"/>
  <c r="J25" i="5"/>
  <c r="J26" i="5"/>
  <c r="N27" i="5"/>
  <c r="N35" i="5" s="1"/>
  <c r="E11" i="6"/>
  <c r="I11" i="6"/>
  <c r="I14" i="6" s="1"/>
  <c r="M11" i="6"/>
  <c r="M14" i="6" s="1"/>
  <c r="E17" i="6"/>
  <c r="E35" i="6" s="1"/>
  <c r="I17" i="6"/>
  <c r="I35" i="6" s="1"/>
  <c r="M17" i="6"/>
  <c r="M35" i="6" s="1"/>
  <c r="J23" i="6"/>
  <c r="N23" i="6"/>
  <c r="J24" i="6"/>
  <c r="N24" i="6"/>
  <c r="N35" i="6" s="1"/>
  <c r="J25" i="6"/>
  <c r="N25" i="6"/>
  <c r="E13" i="18"/>
  <c r="I13" i="18"/>
  <c r="J18" i="18"/>
  <c r="N18" i="18"/>
  <c r="J19" i="18"/>
  <c r="N19" i="18"/>
  <c r="E22" i="18"/>
  <c r="I22" i="18"/>
  <c r="J39" i="18"/>
  <c r="N16" i="19"/>
  <c r="N34" i="19"/>
  <c r="N33" i="19"/>
  <c r="N32" i="19"/>
  <c r="N31" i="19"/>
  <c r="N30" i="19"/>
  <c r="N29" i="19"/>
  <c r="N28" i="19"/>
  <c r="N27" i="19"/>
  <c r="N26" i="19"/>
  <c r="N10" i="19"/>
  <c r="E11" i="19"/>
  <c r="E14" i="19" s="1"/>
  <c r="K11" i="19"/>
  <c r="N11" i="19" s="1"/>
  <c r="P11" i="19"/>
  <c r="P13" i="19"/>
  <c r="R13" i="19" s="1"/>
  <c r="L13" i="19"/>
  <c r="N13" i="19" s="1"/>
  <c r="H13" i="19"/>
  <c r="H14" i="19" s="1"/>
  <c r="D13" i="19"/>
  <c r="F13" i="19" s="1"/>
  <c r="F21" i="19"/>
  <c r="K21" i="19"/>
  <c r="P21" i="19"/>
  <c r="J22" i="19"/>
  <c r="R39" i="19"/>
  <c r="C38" i="20"/>
  <c r="G14" i="20"/>
  <c r="M14" i="20"/>
  <c r="I11" i="20"/>
  <c r="I14" i="20" s="1"/>
  <c r="E11" i="20"/>
  <c r="E14" i="20" s="1"/>
  <c r="H11" i="20"/>
  <c r="H14" i="20" s="1"/>
  <c r="D11" i="20"/>
  <c r="J13" i="20"/>
  <c r="J17" i="20"/>
  <c r="F17" i="20"/>
  <c r="I17" i="20"/>
  <c r="I35" i="20" s="1"/>
  <c r="E17" i="20"/>
  <c r="J34" i="21"/>
  <c r="J33" i="21"/>
  <c r="J32" i="21"/>
  <c r="J31" i="21"/>
  <c r="J30" i="21"/>
  <c r="J29" i="21"/>
  <c r="J28" i="21"/>
  <c r="J27" i="21"/>
  <c r="J26" i="21"/>
  <c r="J25" i="21"/>
  <c r="J24" i="21"/>
  <c r="J23" i="21"/>
  <c r="J16" i="21"/>
  <c r="F13" i="21"/>
  <c r="I17" i="21"/>
  <c r="I35" i="21" s="1"/>
  <c r="E17" i="21"/>
  <c r="H17" i="21"/>
  <c r="C17" i="21"/>
  <c r="C35" i="21" s="1"/>
  <c r="G17" i="21"/>
  <c r="G35" i="21" s="1"/>
  <c r="J18" i="21"/>
  <c r="J19" i="21"/>
  <c r="J20" i="21"/>
  <c r="N34" i="23"/>
  <c r="N33" i="23"/>
  <c r="N32" i="23"/>
  <c r="N31" i="23"/>
  <c r="N30" i="23"/>
  <c r="N29" i="23"/>
  <c r="N28" i="23"/>
  <c r="N27" i="23"/>
  <c r="N26" i="23"/>
  <c r="N25" i="23"/>
  <c r="N24" i="23"/>
  <c r="N23" i="23"/>
  <c r="N14" i="23"/>
  <c r="N16" i="23"/>
  <c r="N21" i="23"/>
  <c r="N20" i="23"/>
  <c r="N19" i="23"/>
  <c r="N18" i="23"/>
  <c r="K35" i="23"/>
  <c r="K36" i="23" s="1"/>
  <c r="F34" i="24"/>
  <c r="F33" i="24"/>
  <c r="F32" i="24"/>
  <c r="F31" i="24"/>
  <c r="F30" i="24"/>
  <c r="F29" i="24"/>
  <c r="F28" i="24"/>
  <c r="F27" i="24"/>
  <c r="F26" i="24"/>
  <c r="F25" i="24"/>
  <c r="F24" i="24"/>
  <c r="F23" i="24"/>
  <c r="F16" i="24"/>
  <c r="F21" i="24"/>
  <c r="F20" i="24"/>
  <c r="F19" i="24"/>
  <c r="F18" i="24"/>
  <c r="F17" i="24"/>
  <c r="H14" i="25"/>
  <c r="L35" i="41"/>
  <c r="E14" i="28"/>
  <c r="F10" i="28"/>
  <c r="G38" i="29"/>
  <c r="F11" i="29"/>
  <c r="C14" i="29"/>
  <c r="R28" i="19"/>
  <c r="R35" i="19" s="1"/>
  <c r="R29" i="19"/>
  <c r="R30" i="19"/>
  <c r="R31" i="19"/>
  <c r="R32" i="19"/>
  <c r="R33" i="19"/>
  <c r="R34" i="19"/>
  <c r="H12" i="21"/>
  <c r="D12" i="21"/>
  <c r="D14" i="21" s="1"/>
  <c r="M14" i="21"/>
  <c r="J13" i="23"/>
  <c r="I35" i="23"/>
  <c r="I36" i="23" s="1"/>
  <c r="M35" i="23"/>
  <c r="M36" i="23" s="1"/>
  <c r="M17" i="23"/>
  <c r="I17" i="23"/>
  <c r="E17" i="23"/>
  <c r="E35" i="23" s="1"/>
  <c r="L17" i="23"/>
  <c r="L35" i="23" s="1"/>
  <c r="L36" i="23" s="1"/>
  <c r="H17" i="23"/>
  <c r="H35" i="23" s="1"/>
  <c r="H36" i="23" s="1"/>
  <c r="D17" i="23"/>
  <c r="D35" i="23" s="1"/>
  <c r="D36" i="23" s="1"/>
  <c r="F13" i="24"/>
  <c r="F20" i="25"/>
  <c r="F19" i="25"/>
  <c r="F18" i="25"/>
  <c r="F35" i="25" s="1"/>
  <c r="E14" i="25"/>
  <c r="G13" i="25"/>
  <c r="G22" i="25"/>
  <c r="G35" i="25" s="1"/>
  <c r="K14" i="41"/>
  <c r="N10" i="41"/>
  <c r="M12" i="41"/>
  <c r="I12" i="41"/>
  <c r="J12" i="41" s="1"/>
  <c r="J14" i="41" s="1"/>
  <c r="E12" i="41"/>
  <c r="L12" i="41"/>
  <c r="H12" i="41"/>
  <c r="H14" i="41" s="1"/>
  <c r="D12" i="41"/>
  <c r="F12" i="41" s="1"/>
  <c r="N17" i="41"/>
  <c r="J17" i="41"/>
  <c r="J35" i="41" s="1"/>
  <c r="F17" i="41"/>
  <c r="M17" i="41"/>
  <c r="M35" i="41" s="1"/>
  <c r="I17" i="41"/>
  <c r="E17" i="41"/>
  <c r="L14" i="27"/>
  <c r="K14" i="27"/>
  <c r="G22" i="27"/>
  <c r="G35" i="27" s="1"/>
  <c r="J11" i="29"/>
  <c r="C14" i="30"/>
  <c r="F10" i="30"/>
  <c r="D12" i="20"/>
  <c r="F12" i="20" s="1"/>
  <c r="D22" i="20"/>
  <c r="I11" i="21"/>
  <c r="I14" i="21" s="1"/>
  <c r="E11" i="21"/>
  <c r="E14" i="21" s="1"/>
  <c r="G12" i="21"/>
  <c r="J12" i="21" s="1"/>
  <c r="F13" i="23"/>
  <c r="J17" i="23"/>
  <c r="J39" i="23"/>
  <c r="E35" i="24"/>
  <c r="E17" i="24"/>
  <c r="D17" i="24"/>
  <c r="D35" i="24" s="1"/>
  <c r="F39" i="24"/>
  <c r="J20" i="25"/>
  <c r="J19" i="25"/>
  <c r="J18" i="25"/>
  <c r="J35" i="25" s="1"/>
  <c r="F10" i="25"/>
  <c r="F14" i="25" s="1"/>
  <c r="J10" i="25"/>
  <c r="D35" i="25"/>
  <c r="H35" i="25"/>
  <c r="J21" i="25"/>
  <c r="G14" i="41"/>
  <c r="J10" i="41"/>
  <c r="J11" i="41"/>
  <c r="Q14" i="41"/>
  <c r="M11" i="41"/>
  <c r="N11" i="41" s="1"/>
  <c r="I11" i="41"/>
  <c r="E11" i="41"/>
  <c r="E14" i="41" s="1"/>
  <c r="H17" i="41"/>
  <c r="H35" i="41" s="1"/>
  <c r="F39" i="41"/>
  <c r="M14" i="27"/>
  <c r="N10" i="27"/>
  <c r="M13" i="27"/>
  <c r="I13" i="27"/>
  <c r="E13" i="27"/>
  <c r="E14" i="27" s="1"/>
  <c r="Q14" i="27"/>
  <c r="L13" i="27"/>
  <c r="N13" i="27" s="1"/>
  <c r="H13" i="27"/>
  <c r="J13" i="27" s="1"/>
  <c r="D13" i="27"/>
  <c r="L35" i="27"/>
  <c r="E13" i="28"/>
  <c r="D13" i="28"/>
  <c r="F13" i="28" s="1"/>
  <c r="F14" i="28" s="1"/>
  <c r="F11" i="39"/>
  <c r="J38" i="23"/>
  <c r="F39" i="23"/>
  <c r="E14" i="24"/>
  <c r="E11" i="24"/>
  <c r="D11" i="24"/>
  <c r="D14" i="24" s="1"/>
  <c r="I14" i="24"/>
  <c r="F22" i="24"/>
  <c r="J12" i="25"/>
  <c r="F13" i="25"/>
  <c r="I13" i="25"/>
  <c r="I14" i="25" s="1"/>
  <c r="E13" i="25"/>
  <c r="I35" i="25"/>
  <c r="J22" i="25"/>
  <c r="F22" i="25"/>
  <c r="I22" i="25"/>
  <c r="E22" i="25"/>
  <c r="E35" i="25" s="1"/>
  <c r="C14" i="41"/>
  <c r="F10" i="41"/>
  <c r="D14" i="27"/>
  <c r="I14" i="27"/>
  <c r="J10" i="27"/>
  <c r="N12" i="27"/>
  <c r="F13" i="27"/>
  <c r="C14" i="27"/>
  <c r="N22" i="27"/>
  <c r="J22" i="27"/>
  <c r="F22" i="27"/>
  <c r="M22" i="27"/>
  <c r="M35" i="27" s="1"/>
  <c r="I22" i="27"/>
  <c r="I35" i="27" s="1"/>
  <c r="E22" i="27"/>
  <c r="E35" i="27" s="1"/>
  <c r="L22" i="27"/>
  <c r="H22" i="27"/>
  <c r="H35" i="27" s="1"/>
  <c r="D22" i="27"/>
  <c r="D35" i="27" s="1"/>
  <c r="J34" i="29"/>
  <c r="J33" i="29"/>
  <c r="J32" i="29"/>
  <c r="J31" i="29"/>
  <c r="J30" i="29"/>
  <c r="J29" i="29"/>
  <c r="J28" i="29"/>
  <c r="J27" i="29"/>
  <c r="J26" i="29"/>
  <c r="J25" i="29"/>
  <c r="J24" i="29"/>
  <c r="J23" i="29"/>
  <c r="J16" i="29"/>
  <c r="J20" i="29"/>
  <c r="J19" i="29"/>
  <c r="J18" i="29"/>
  <c r="J17" i="29"/>
  <c r="H21" i="29"/>
  <c r="D21" i="29"/>
  <c r="D35" i="29" s="1"/>
  <c r="J21" i="29"/>
  <c r="E21" i="29"/>
  <c r="I21" i="29"/>
  <c r="C21" i="29"/>
  <c r="G21" i="29"/>
  <c r="J22" i="29"/>
  <c r="I35" i="30"/>
  <c r="T13" i="31"/>
  <c r="O13" i="31"/>
  <c r="S13" i="31"/>
  <c r="V13" i="31" s="1"/>
  <c r="I13" i="31"/>
  <c r="U13" i="31"/>
  <c r="Q13" i="31"/>
  <c r="H13" i="31"/>
  <c r="P13" i="31"/>
  <c r="G13" i="31"/>
  <c r="T17" i="31"/>
  <c r="T35" i="31" s="1"/>
  <c r="P17" i="31"/>
  <c r="P35" i="31" s="1"/>
  <c r="L17" i="31"/>
  <c r="L35" i="31" s="1"/>
  <c r="H17" i="31"/>
  <c r="H35" i="31" s="1"/>
  <c r="D17" i="31"/>
  <c r="D35" i="31" s="1"/>
  <c r="U17" i="31"/>
  <c r="O17" i="31"/>
  <c r="O35" i="31" s="1"/>
  <c r="J17" i="31"/>
  <c r="E17" i="31"/>
  <c r="S17" i="31"/>
  <c r="S35" i="31" s="1"/>
  <c r="N17" i="31"/>
  <c r="N35" i="31" s="1"/>
  <c r="I17" i="31"/>
  <c r="C17" i="31"/>
  <c r="C35" i="31" s="1"/>
  <c r="V17" i="31"/>
  <c r="V35" i="31" s="1"/>
  <c r="K17" i="31"/>
  <c r="K35" i="31" s="1"/>
  <c r="R17" i="31"/>
  <c r="R35" i="31" s="1"/>
  <c r="G17" i="31"/>
  <c r="Q17" i="31"/>
  <c r="F17" i="31"/>
  <c r="F35" i="31" s="1"/>
  <c r="J34" i="34"/>
  <c r="J33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6" i="34"/>
  <c r="J35" i="34" s="1"/>
  <c r="N16" i="27"/>
  <c r="N17" i="27"/>
  <c r="F21" i="28"/>
  <c r="F22" i="28"/>
  <c r="C14" i="39"/>
  <c r="F10" i="39"/>
  <c r="I17" i="29"/>
  <c r="I35" i="29" s="1"/>
  <c r="E17" i="29"/>
  <c r="E35" i="29" s="1"/>
  <c r="F34" i="31"/>
  <c r="F33" i="31"/>
  <c r="F32" i="31"/>
  <c r="F31" i="31"/>
  <c r="F30" i="31"/>
  <c r="F29" i="31"/>
  <c r="F28" i="31"/>
  <c r="F27" i="31"/>
  <c r="F26" i="31"/>
  <c r="F25" i="31"/>
  <c r="F24" i="31"/>
  <c r="F23" i="31"/>
  <c r="V34" i="31"/>
  <c r="V33" i="31"/>
  <c r="V32" i="31"/>
  <c r="V31" i="31"/>
  <c r="V30" i="31"/>
  <c r="V29" i="31"/>
  <c r="V28" i="31"/>
  <c r="V27" i="31"/>
  <c r="V26" i="31"/>
  <c r="V25" i="31"/>
  <c r="V24" i="31"/>
  <c r="V23" i="31"/>
  <c r="Q14" i="31"/>
  <c r="L11" i="31"/>
  <c r="K11" i="31"/>
  <c r="N11" i="31" s="1"/>
  <c r="N12" i="31"/>
  <c r="G35" i="31"/>
  <c r="D35" i="35"/>
  <c r="J22" i="35"/>
  <c r="F22" i="35"/>
  <c r="I22" i="35"/>
  <c r="E22" i="35"/>
  <c r="H22" i="35"/>
  <c r="D22" i="35"/>
  <c r="C22" i="35"/>
  <c r="C35" i="35" s="1"/>
  <c r="F23" i="21"/>
  <c r="F35" i="21" s="1"/>
  <c r="F24" i="21"/>
  <c r="F25" i="21"/>
  <c r="F26" i="21"/>
  <c r="F27" i="21"/>
  <c r="F28" i="21"/>
  <c r="F29" i="21"/>
  <c r="F30" i="21"/>
  <c r="F31" i="21"/>
  <c r="F32" i="21"/>
  <c r="F33" i="21"/>
  <c r="F22" i="23"/>
  <c r="F35" i="23" s="1"/>
  <c r="J22" i="23"/>
  <c r="F21" i="25"/>
  <c r="J23" i="41"/>
  <c r="N23" i="41"/>
  <c r="J24" i="41"/>
  <c r="N24" i="41"/>
  <c r="J25" i="41"/>
  <c r="N25" i="41"/>
  <c r="J26" i="41"/>
  <c r="N26" i="41"/>
  <c r="J27" i="41"/>
  <c r="N27" i="41"/>
  <c r="J28" i="41"/>
  <c r="N28" i="41"/>
  <c r="J29" i="41"/>
  <c r="N29" i="41"/>
  <c r="J30" i="41"/>
  <c r="N30" i="41"/>
  <c r="J31" i="41"/>
  <c r="N31" i="41"/>
  <c r="J32" i="41"/>
  <c r="N32" i="41"/>
  <c r="J33" i="41"/>
  <c r="N33" i="41"/>
  <c r="N34" i="41"/>
  <c r="N35" i="41" s="1"/>
  <c r="F18" i="27"/>
  <c r="N18" i="27"/>
  <c r="F19" i="27"/>
  <c r="N19" i="27"/>
  <c r="F21" i="27"/>
  <c r="J21" i="27"/>
  <c r="C14" i="28"/>
  <c r="I14" i="28"/>
  <c r="F17" i="28"/>
  <c r="F18" i="28"/>
  <c r="F19" i="28"/>
  <c r="F20" i="28"/>
  <c r="F35" i="28" s="1"/>
  <c r="F23" i="28"/>
  <c r="F24" i="28"/>
  <c r="F25" i="28"/>
  <c r="F26" i="28"/>
  <c r="F27" i="28"/>
  <c r="F28" i="28"/>
  <c r="F29" i="28"/>
  <c r="F30" i="28"/>
  <c r="F31" i="28"/>
  <c r="F32" i="28"/>
  <c r="F33" i="28"/>
  <c r="F34" i="28"/>
  <c r="E11" i="39"/>
  <c r="E14" i="39" s="1"/>
  <c r="C17" i="39"/>
  <c r="C21" i="39"/>
  <c r="C35" i="39" s="1"/>
  <c r="C22" i="39"/>
  <c r="D11" i="29"/>
  <c r="H12" i="29"/>
  <c r="D12" i="29"/>
  <c r="F12" i="29" s="1"/>
  <c r="G17" i="29"/>
  <c r="F34" i="30"/>
  <c r="F33" i="30"/>
  <c r="F32" i="30"/>
  <c r="F31" i="30"/>
  <c r="F30" i="30"/>
  <c r="F29" i="30"/>
  <c r="F28" i="30"/>
  <c r="F27" i="30"/>
  <c r="F26" i="30"/>
  <c r="F25" i="30"/>
  <c r="F24" i="30"/>
  <c r="F23" i="30"/>
  <c r="E14" i="30"/>
  <c r="I14" i="30"/>
  <c r="H11" i="30"/>
  <c r="D11" i="30"/>
  <c r="D14" i="30" s="1"/>
  <c r="I17" i="30"/>
  <c r="E17" i="30"/>
  <c r="E35" i="30" s="1"/>
  <c r="H17" i="30"/>
  <c r="H35" i="30" s="1"/>
  <c r="D17" i="30"/>
  <c r="D35" i="30" s="1"/>
  <c r="F18" i="30"/>
  <c r="F35" i="30" s="1"/>
  <c r="J18" i="30"/>
  <c r="J35" i="30" s="1"/>
  <c r="F19" i="30"/>
  <c r="J19" i="30"/>
  <c r="F20" i="30"/>
  <c r="J20" i="30"/>
  <c r="F21" i="30"/>
  <c r="J22" i="30"/>
  <c r="J39" i="30"/>
  <c r="J34" i="31"/>
  <c r="J33" i="31"/>
  <c r="J32" i="31"/>
  <c r="J31" i="31"/>
  <c r="J30" i="31"/>
  <c r="J29" i="31"/>
  <c r="J28" i="31"/>
  <c r="J27" i="31"/>
  <c r="J26" i="31"/>
  <c r="J25" i="31"/>
  <c r="J24" i="31"/>
  <c r="J23" i="31"/>
  <c r="S12" i="31"/>
  <c r="V12" i="31" s="1"/>
  <c r="O12" i="31"/>
  <c r="G12" i="31"/>
  <c r="C12" i="31"/>
  <c r="F12" i="31" s="1"/>
  <c r="T11" i="31"/>
  <c r="P11" i="31"/>
  <c r="T10" i="31"/>
  <c r="P10" i="31"/>
  <c r="H10" i="31"/>
  <c r="D10" i="31"/>
  <c r="S11" i="31"/>
  <c r="O11" i="31"/>
  <c r="R11" i="31" s="1"/>
  <c r="S10" i="31"/>
  <c r="O10" i="31"/>
  <c r="G10" i="31"/>
  <c r="C10" i="31"/>
  <c r="H12" i="31"/>
  <c r="P12" i="31"/>
  <c r="R39" i="31"/>
  <c r="N16" i="33"/>
  <c r="R17" i="33"/>
  <c r="N17" i="33"/>
  <c r="E17" i="33"/>
  <c r="Q17" i="33"/>
  <c r="M17" i="33"/>
  <c r="D17" i="33"/>
  <c r="P17" i="33"/>
  <c r="C17" i="33"/>
  <c r="O17" i="33"/>
  <c r="K19" i="33"/>
  <c r="Q20" i="33"/>
  <c r="R21" i="33"/>
  <c r="Q22" i="33"/>
  <c r="M22" i="33"/>
  <c r="D22" i="33"/>
  <c r="P22" i="33"/>
  <c r="K22" i="33"/>
  <c r="C22" i="33"/>
  <c r="O22" i="33"/>
  <c r="N22" i="33"/>
  <c r="K24" i="33"/>
  <c r="Q25" i="33"/>
  <c r="F27" i="33"/>
  <c r="P28" i="33"/>
  <c r="E30" i="33"/>
  <c r="O31" i="33"/>
  <c r="D33" i="33"/>
  <c r="F14" i="23"/>
  <c r="F23" i="23"/>
  <c r="F24" i="23"/>
  <c r="F25" i="23"/>
  <c r="F26" i="23"/>
  <c r="F27" i="23"/>
  <c r="F28" i="23"/>
  <c r="F29" i="23"/>
  <c r="F30" i="23"/>
  <c r="F31" i="23"/>
  <c r="F32" i="23"/>
  <c r="F33" i="23"/>
  <c r="D17" i="39"/>
  <c r="D35" i="39" s="1"/>
  <c r="D36" i="39" s="1"/>
  <c r="D21" i="39"/>
  <c r="E22" i="39"/>
  <c r="E35" i="39" s="1"/>
  <c r="I11" i="29"/>
  <c r="I14" i="29" s="1"/>
  <c r="E11" i="29"/>
  <c r="E14" i="29" s="1"/>
  <c r="C17" i="29"/>
  <c r="C35" i="29" s="1"/>
  <c r="H17" i="29"/>
  <c r="H35" i="29" s="1"/>
  <c r="J39" i="29"/>
  <c r="J34" i="30"/>
  <c r="J33" i="30"/>
  <c r="J32" i="30"/>
  <c r="J31" i="30"/>
  <c r="J30" i="30"/>
  <c r="J29" i="30"/>
  <c r="J28" i="30"/>
  <c r="J27" i="30"/>
  <c r="J26" i="30"/>
  <c r="J25" i="30"/>
  <c r="J24" i="30"/>
  <c r="J23" i="30"/>
  <c r="J13" i="30"/>
  <c r="F39" i="30"/>
  <c r="U14" i="31"/>
  <c r="L10" i="31"/>
  <c r="K10" i="31"/>
  <c r="D11" i="31"/>
  <c r="C11" i="31"/>
  <c r="E35" i="31"/>
  <c r="I35" i="31"/>
  <c r="M35" i="31"/>
  <c r="Q35" i="31"/>
  <c r="U35" i="31"/>
  <c r="P34" i="33"/>
  <c r="K34" i="33"/>
  <c r="C34" i="33"/>
  <c r="O33" i="33"/>
  <c r="F33" i="33"/>
  <c r="R32" i="33"/>
  <c r="N32" i="33"/>
  <c r="E32" i="33"/>
  <c r="Q31" i="33"/>
  <c r="M31" i="33"/>
  <c r="D31" i="33"/>
  <c r="P30" i="33"/>
  <c r="K30" i="33"/>
  <c r="C30" i="33"/>
  <c r="O29" i="33"/>
  <c r="F29" i="33"/>
  <c r="R28" i="33"/>
  <c r="N28" i="33"/>
  <c r="E28" i="33"/>
  <c r="Q27" i="33"/>
  <c r="M27" i="33"/>
  <c r="D27" i="33"/>
  <c r="P26" i="33"/>
  <c r="K26" i="33"/>
  <c r="C26" i="33"/>
  <c r="O25" i="33"/>
  <c r="F25" i="33"/>
  <c r="R24" i="33"/>
  <c r="N24" i="33"/>
  <c r="E24" i="33"/>
  <c r="Q23" i="33"/>
  <c r="M23" i="33"/>
  <c r="D23" i="33"/>
  <c r="P20" i="33"/>
  <c r="K20" i="33"/>
  <c r="C20" i="33"/>
  <c r="O19" i="33"/>
  <c r="F19" i="33"/>
  <c r="R18" i="33"/>
  <c r="N18" i="33"/>
  <c r="E18" i="33"/>
  <c r="Q16" i="33"/>
  <c r="M16" i="33"/>
  <c r="D16" i="33"/>
  <c r="O34" i="33"/>
  <c r="F34" i="33"/>
  <c r="R33" i="33"/>
  <c r="N33" i="33"/>
  <c r="E33" i="33"/>
  <c r="Q32" i="33"/>
  <c r="M32" i="33"/>
  <c r="D32" i="33"/>
  <c r="P31" i="33"/>
  <c r="K31" i="33"/>
  <c r="C31" i="33"/>
  <c r="O30" i="33"/>
  <c r="F30" i="33"/>
  <c r="R29" i="33"/>
  <c r="N29" i="33"/>
  <c r="E29" i="33"/>
  <c r="Q28" i="33"/>
  <c r="M28" i="33"/>
  <c r="D28" i="33"/>
  <c r="P27" i="33"/>
  <c r="K27" i="33"/>
  <c r="C27" i="33"/>
  <c r="O26" i="33"/>
  <c r="F26" i="33"/>
  <c r="R25" i="33"/>
  <c r="N25" i="33"/>
  <c r="E25" i="33"/>
  <c r="Q24" i="33"/>
  <c r="M24" i="33"/>
  <c r="D24" i="33"/>
  <c r="P23" i="33"/>
  <c r="K23" i="33"/>
  <c r="C23" i="33"/>
  <c r="O20" i="33"/>
  <c r="F20" i="33"/>
  <c r="R19" i="33"/>
  <c r="N19" i="33"/>
  <c r="E19" i="33"/>
  <c r="Q18" i="33"/>
  <c r="M18" i="33"/>
  <c r="D18" i="33"/>
  <c r="P16" i="33"/>
  <c r="K16" i="33"/>
  <c r="C16" i="33"/>
  <c r="R34" i="33"/>
  <c r="E34" i="33"/>
  <c r="M33" i="33"/>
  <c r="P32" i="33"/>
  <c r="C32" i="33"/>
  <c r="F31" i="33"/>
  <c r="N30" i="33"/>
  <c r="Q29" i="33"/>
  <c r="D29" i="33"/>
  <c r="K28" i="33"/>
  <c r="O27" i="33"/>
  <c r="R26" i="33"/>
  <c r="E26" i="33"/>
  <c r="M25" i="33"/>
  <c r="P24" i="33"/>
  <c r="C24" i="33"/>
  <c r="F23" i="33"/>
  <c r="F21" i="33"/>
  <c r="N20" i="33"/>
  <c r="Q19" i="33"/>
  <c r="D19" i="33"/>
  <c r="K18" i="33"/>
  <c r="F16" i="33"/>
  <c r="Q34" i="33"/>
  <c r="D34" i="33"/>
  <c r="K33" i="33"/>
  <c r="O32" i="33"/>
  <c r="R31" i="33"/>
  <c r="E31" i="33"/>
  <c r="M30" i="33"/>
  <c r="P29" i="33"/>
  <c r="C29" i="33"/>
  <c r="F28" i="33"/>
  <c r="N27" i="33"/>
  <c r="Q26" i="33"/>
  <c r="D26" i="33"/>
  <c r="K25" i="33"/>
  <c r="O24" i="33"/>
  <c r="R23" i="33"/>
  <c r="E23" i="33"/>
  <c r="M20" i="33"/>
  <c r="P19" i="33"/>
  <c r="C19" i="33"/>
  <c r="F18" i="33"/>
  <c r="R16" i="33"/>
  <c r="E16" i="33"/>
  <c r="O16" i="33"/>
  <c r="O35" i="33" s="1"/>
  <c r="C18" i="33"/>
  <c r="M19" i="33"/>
  <c r="R20" i="33"/>
  <c r="E22" i="33"/>
  <c r="N23" i="33"/>
  <c r="C25" i="33"/>
  <c r="M26" i="33"/>
  <c r="R27" i="33"/>
  <c r="K29" i="33"/>
  <c r="Q30" i="33"/>
  <c r="F32" i="33"/>
  <c r="P33" i="33"/>
  <c r="Q39" i="33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0" i="34"/>
  <c r="C14" i="34"/>
  <c r="H38" i="34"/>
  <c r="F23" i="29"/>
  <c r="F35" i="29" s="1"/>
  <c r="F24" i="29"/>
  <c r="F25" i="29"/>
  <c r="F26" i="29"/>
  <c r="F27" i="29"/>
  <c r="F28" i="29"/>
  <c r="F29" i="29"/>
  <c r="F30" i="29"/>
  <c r="F31" i="29"/>
  <c r="F32" i="29"/>
  <c r="F33" i="29"/>
  <c r="F22" i="30"/>
  <c r="N34" i="31"/>
  <c r="N33" i="31"/>
  <c r="N32" i="31"/>
  <c r="N31" i="31"/>
  <c r="N30" i="31"/>
  <c r="N29" i="31"/>
  <c r="N28" i="31"/>
  <c r="N27" i="31"/>
  <c r="N26" i="31"/>
  <c r="N25" i="31"/>
  <c r="N24" i="31"/>
  <c r="V22" i="31"/>
  <c r="R22" i="31"/>
  <c r="N22" i="31"/>
  <c r="J22" i="31"/>
  <c r="J35" i="31" s="1"/>
  <c r="F22" i="31"/>
  <c r="N23" i="31"/>
  <c r="J39" i="31"/>
  <c r="T9" i="33"/>
  <c r="P12" i="33" s="1"/>
  <c r="E21" i="33"/>
  <c r="I35" i="34"/>
  <c r="R34" i="31"/>
  <c r="R33" i="31"/>
  <c r="R32" i="31"/>
  <c r="R31" i="31"/>
  <c r="R30" i="31"/>
  <c r="R29" i="31"/>
  <c r="R28" i="31"/>
  <c r="R27" i="31"/>
  <c r="R26" i="31"/>
  <c r="R25" i="31"/>
  <c r="R24" i="31"/>
  <c r="F39" i="31"/>
  <c r="V39" i="31"/>
  <c r="Q21" i="33"/>
  <c r="M21" i="33"/>
  <c r="D21" i="33"/>
  <c r="P21" i="33"/>
  <c r="K21" i="33"/>
  <c r="C21" i="33"/>
  <c r="G14" i="34"/>
  <c r="J10" i="34"/>
  <c r="J14" i="34" s="1"/>
  <c r="J36" i="34" s="1"/>
  <c r="F34" i="35"/>
  <c r="F33" i="35"/>
  <c r="F32" i="35"/>
  <c r="F31" i="35"/>
  <c r="F30" i="35"/>
  <c r="F20" i="35"/>
  <c r="F19" i="35"/>
  <c r="F18" i="35"/>
  <c r="F17" i="35"/>
  <c r="F16" i="35"/>
  <c r="F35" i="35" s="1"/>
  <c r="F11" i="35"/>
  <c r="E11" i="33"/>
  <c r="I14" i="34"/>
  <c r="P14" i="34"/>
  <c r="J11" i="35"/>
  <c r="I13" i="35"/>
  <c r="I14" i="35" s="1"/>
  <c r="E13" i="35"/>
  <c r="L13" i="35"/>
  <c r="L14" i="35" s="1"/>
  <c r="L38" i="35" s="1"/>
  <c r="H13" i="35"/>
  <c r="H14" i="35" s="1"/>
  <c r="D13" i="35"/>
  <c r="K13" i="35"/>
  <c r="K14" i="35" s="1"/>
  <c r="K38" i="35" s="1"/>
  <c r="G13" i="35"/>
  <c r="C13" i="35"/>
  <c r="R34" i="34"/>
  <c r="R33" i="34"/>
  <c r="R32" i="34"/>
  <c r="R31" i="34"/>
  <c r="R30" i="34"/>
  <c r="R29" i="34"/>
  <c r="R28" i="34"/>
  <c r="R27" i="34"/>
  <c r="R26" i="34"/>
  <c r="R25" i="34"/>
  <c r="R24" i="34"/>
  <c r="R23" i="34"/>
  <c r="R14" i="34"/>
  <c r="R22" i="34"/>
  <c r="R21" i="34"/>
  <c r="R20" i="34"/>
  <c r="R19" i="34"/>
  <c r="R35" i="34" s="1"/>
  <c r="R18" i="34"/>
  <c r="J12" i="34"/>
  <c r="H35" i="34"/>
  <c r="H36" i="34" s="1"/>
  <c r="P35" i="34"/>
  <c r="G12" i="35"/>
  <c r="J12" i="35" s="1"/>
  <c r="C12" i="35"/>
  <c r="I12" i="35"/>
  <c r="E12" i="35"/>
  <c r="E14" i="35" s="1"/>
  <c r="H35" i="35"/>
  <c r="N14" i="34"/>
  <c r="N23" i="34"/>
  <c r="N24" i="34"/>
  <c r="N25" i="34"/>
  <c r="N26" i="34"/>
  <c r="N27" i="34"/>
  <c r="N28" i="34"/>
  <c r="N29" i="34"/>
  <c r="N30" i="34"/>
  <c r="N31" i="34"/>
  <c r="N32" i="34"/>
  <c r="N33" i="34"/>
  <c r="N34" i="34"/>
  <c r="J34" i="35"/>
  <c r="J33" i="35"/>
  <c r="J32" i="35"/>
  <c r="J31" i="35"/>
  <c r="J30" i="35"/>
  <c r="F10" i="35"/>
  <c r="J10" i="35"/>
  <c r="P14" i="35"/>
  <c r="J16" i="35"/>
  <c r="J17" i="35"/>
  <c r="E21" i="35"/>
  <c r="E35" i="35" s="1"/>
  <c r="I21" i="35"/>
  <c r="I35" i="35" s="1"/>
  <c r="D36" i="38"/>
  <c r="D38" i="38"/>
  <c r="H36" i="38"/>
  <c r="H38" i="38"/>
  <c r="O38" i="38"/>
  <c r="N16" i="34"/>
  <c r="N17" i="34"/>
  <c r="G35" i="35"/>
  <c r="J18" i="35"/>
  <c r="J19" i="35"/>
  <c r="J20" i="35"/>
  <c r="F21" i="35"/>
  <c r="E14" i="37"/>
  <c r="E38" i="38"/>
  <c r="I38" i="38"/>
  <c r="I35" i="38"/>
  <c r="I36" i="38" s="1"/>
  <c r="E11" i="34"/>
  <c r="F11" i="34" s="1"/>
  <c r="I11" i="34"/>
  <c r="J11" i="34" s="1"/>
  <c r="D12" i="34"/>
  <c r="D14" i="34" s="1"/>
  <c r="E17" i="34"/>
  <c r="E35" i="34" s="1"/>
  <c r="I17" i="34"/>
  <c r="N18" i="34"/>
  <c r="N19" i="34"/>
  <c r="D21" i="34"/>
  <c r="D35" i="34" s="1"/>
  <c r="H21" i="34"/>
  <c r="D11" i="35"/>
  <c r="D14" i="35" s="1"/>
  <c r="H36" i="37"/>
  <c r="H38" i="37"/>
  <c r="J38" i="37" s="1"/>
  <c r="E35" i="38"/>
  <c r="E36" i="38" s="1"/>
  <c r="Q14" i="37"/>
  <c r="J17" i="37"/>
  <c r="J18" i="37"/>
  <c r="F20" i="37"/>
  <c r="N20" i="37"/>
  <c r="J24" i="37"/>
  <c r="F26" i="37"/>
  <c r="N26" i="37"/>
  <c r="J28" i="37"/>
  <c r="F30" i="37"/>
  <c r="N30" i="37"/>
  <c r="J32" i="37"/>
  <c r="F34" i="37"/>
  <c r="N34" i="37"/>
  <c r="N14" i="38"/>
  <c r="N16" i="38"/>
  <c r="E17" i="38"/>
  <c r="I17" i="38"/>
  <c r="O17" i="38"/>
  <c r="F19" i="38"/>
  <c r="J19" i="38"/>
  <c r="N21" i="38"/>
  <c r="N22" i="38"/>
  <c r="N23" i="38"/>
  <c r="F25" i="38"/>
  <c r="J25" i="38"/>
  <c r="N27" i="38"/>
  <c r="F29" i="38"/>
  <c r="J29" i="38"/>
  <c r="N31" i="38"/>
  <c r="F33" i="38"/>
  <c r="J33" i="38"/>
  <c r="D14" i="37"/>
  <c r="J14" i="37"/>
  <c r="J16" i="37"/>
  <c r="F19" i="37"/>
  <c r="N19" i="37"/>
  <c r="J21" i="37"/>
  <c r="J22" i="37"/>
  <c r="J23" i="37"/>
  <c r="F25" i="37"/>
  <c r="N25" i="37"/>
  <c r="J27" i="37"/>
  <c r="F29" i="37"/>
  <c r="N29" i="37"/>
  <c r="J31" i="37"/>
  <c r="F33" i="37"/>
  <c r="N33" i="37"/>
  <c r="N10" i="38"/>
  <c r="F17" i="38"/>
  <c r="J17" i="38"/>
  <c r="F18" i="38"/>
  <c r="J18" i="38"/>
  <c r="N20" i="38"/>
  <c r="F24" i="38"/>
  <c r="J24" i="38"/>
  <c r="N26" i="38"/>
  <c r="F28" i="38"/>
  <c r="J28" i="38"/>
  <c r="N30" i="38"/>
  <c r="F32" i="38"/>
  <c r="J32" i="38"/>
  <c r="N34" i="38"/>
  <c r="L11" i="37"/>
  <c r="N11" i="37" s="1"/>
  <c r="N14" i="37" s="1"/>
  <c r="E12" i="37"/>
  <c r="F12" i="37" s="1"/>
  <c r="F14" i="37" s="1"/>
  <c r="E13" i="37"/>
  <c r="F13" i="37" s="1"/>
  <c r="F17" i="37"/>
  <c r="F18" i="37"/>
  <c r="N18" i="37"/>
  <c r="J20" i="37"/>
  <c r="E21" i="37"/>
  <c r="E35" i="37" s="1"/>
  <c r="L21" i="37"/>
  <c r="L35" i="37" s="1"/>
  <c r="E22" i="37"/>
  <c r="L22" i="37"/>
  <c r="F24" i="37"/>
  <c r="N24" i="37"/>
  <c r="J26" i="37"/>
  <c r="F28" i="37"/>
  <c r="N28" i="37"/>
  <c r="J30" i="37"/>
  <c r="F32" i="37"/>
  <c r="N32" i="37"/>
  <c r="J34" i="37"/>
  <c r="F14" i="38"/>
  <c r="J14" i="38"/>
  <c r="F16" i="38"/>
  <c r="J16" i="38"/>
  <c r="C17" i="38"/>
  <c r="C35" i="38" s="1"/>
  <c r="C36" i="38" s="1"/>
  <c r="G17" i="38"/>
  <c r="N19" i="38"/>
  <c r="F21" i="38"/>
  <c r="J21" i="38"/>
  <c r="F22" i="38"/>
  <c r="J22" i="38"/>
  <c r="F23" i="38"/>
  <c r="J23" i="38"/>
  <c r="N25" i="38"/>
  <c r="F27" i="38"/>
  <c r="J27" i="38"/>
  <c r="N29" i="38"/>
  <c r="F31" i="38"/>
  <c r="J31" i="38"/>
  <c r="N33" i="38"/>
  <c r="F16" i="37"/>
  <c r="N16" i="37"/>
  <c r="J19" i="37"/>
  <c r="F21" i="37"/>
  <c r="F22" i="37"/>
  <c r="F23" i="37"/>
  <c r="N23" i="37"/>
  <c r="J25" i="37"/>
  <c r="F27" i="37"/>
  <c r="N27" i="37"/>
  <c r="J29" i="37"/>
  <c r="N17" i="38"/>
  <c r="N18" i="38"/>
  <c r="F20" i="38"/>
  <c r="J20" i="38"/>
  <c r="N24" i="38"/>
  <c r="F26" i="38"/>
  <c r="J26" i="38"/>
  <c r="N28" i="38"/>
  <c r="F30" i="38"/>
  <c r="J30" i="38"/>
  <c r="I38" i="35" l="1"/>
  <c r="I36" i="35"/>
  <c r="H38" i="19"/>
  <c r="H36" i="19"/>
  <c r="E38" i="5"/>
  <c r="E36" i="5"/>
  <c r="P38" i="40"/>
  <c r="P36" i="40"/>
  <c r="F36" i="28"/>
  <c r="F14" i="29"/>
  <c r="F36" i="29" s="1"/>
  <c r="D38" i="18"/>
  <c r="D36" i="18"/>
  <c r="I38" i="25"/>
  <c r="I36" i="25"/>
  <c r="F36" i="25"/>
  <c r="J36" i="41"/>
  <c r="H38" i="18"/>
  <c r="H36" i="18"/>
  <c r="J14" i="18"/>
  <c r="J36" i="18" s="1"/>
  <c r="D36" i="35"/>
  <c r="D38" i="35"/>
  <c r="E38" i="35"/>
  <c r="E36" i="35"/>
  <c r="E38" i="27"/>
  <c r="E36" i="27"/>
  <c r="I38" i="6"/>
  <c r="I36" i="6"/>
  <c r="M38" i="40"/>
  <c r="M36" i="40"/>
  <c r="H36" i="35"/>
  <c r="H38" i="35"/>
  <c r="N14" i="41"/>
  <c r="N36" i="41" s="1"/>
  <c r="H38" i="40"/>
  <c r="H36" i="40"/>
  <c r="F38" i="5"/>
  <c r="D38" i="34"/>
  <c r="D36" i="34"/>
  <c r="H36" i="41"/>
  <c r="H38" i="41"/>
  <c r="M38" i="6"/>
  <c r="M36" i="6"/>
  <c r="I38" i="5"/>
  <c r="I36" i="5"/>
  <c r="D38" i="40"/>
  <c r="I38" i="40"/>
  <c r="I36" i="40"/>
  <c r="D35" i="33"/>
  <c r="S14" i="31"/>
  <c r="V10" i="31"/>
  <c r="C38" i="27"/>
  <c r="C36" i="27"/>
  <c r="C38" i="41"/>
  <c r="C36" i="41"/>
  <c r="N14" i="27"/>
  <c r="N36" i="27" s="1"/>
  <c r="C38" i="30"/>
  <c r="C36" i="30"/>
  <c r="L38" i="27"/>
  <c r="L36" i="27"/>
  <c r="E38" i="25"/>
  <c r="F38" i="25" s="1"/>
  <c r="E36" i="25"/>
  <c r="D14" i="20"/>
  <c r="F11" i="20"/>
  <c r="E38" i="19"/>
  <c r="E36" i="19"/>
  <c r="N35" i="19"/>
  <c r="D14" i="41"/>
  <c r="D38" i="19"/>
  <c r="D36" i="19"/>
  <c r="J35" i="19"/>
  <c r="N35" i="18"/>
  <c r="N35" i="40"/>
  <c r="F22" i="40"/>
  <c r="F21" i="18"/>
  <c r="R35" i="6"/>
  <c r="E38" i="6"/>
  <c r="E36" i="6"/>
  <c r="L14" i="19"/>
  <c r="J35" i="40"/>
  <c r="N11" i="40"/>
  <c r="K14" i="40"/>
  <c r="J35" i="37"/>
  <c r="N35" i="34"/>
  <c r="I38" i="34"/>
  <c r="I36" i="34"/>
  <c r="E12" i="33"/>
  <c r="C36" i="34"/>
  <c r="C38" i="34"/>
  <c r="F35" i="33"/>
  <c r="G14" i="35"/>
  <c r="N35" i="33"/>
  <c r="H11" i="31"/>
  <c r="H14" i="31" s="1"/>
  <c r="G11" i="31"/>
  <c r="J11" i="31" s="1"/>
  <c r="I11" i="31"/>
  <c r="I14" i="31" s="1"/>
  <c r="I38" i="30"/>
  <c r="I36" i="30"/>
  <c r="C38" i="28"/>
  <c r="C36" i="28"/>
  <c r="F14" i="39"/>
  <c r="F36" i="39" s="1"/>
  <c r="J35" i="29"/>
  <c r="D38" i="27"/>
  <c r="D36" i="27"/>
  <c r="E38" i="41"/>
  <c r="E36" i="41"/>
  <c r="H38" i="20"/>
  <c r="H36" i="20"/>
  <c r="N14" i="19"/>
  <c r="F35" i="41"/>
  <c r="F14" i="20"/>
  <c r="F36" i="20" s="1"/>
  <c r="N14" i="18"/>
  <c r="N36" i="18" s="1"/>
  <c r="L14" i="6"/>
  <c r="N11" i="6"/>
  <c r="N14" i="6" s="1"/>
  <c r="N36" i="6" s="1"/>
  <c r="F11" i="24"/>
  <c r="F14" i="24" s="1"/>
  <c r="F36" i="24" s="1"/>
  <c r="Q38" i="40"/>
  <c r="Q36" i="40"/>
  <c r="C36" i="18"/>
  <c r="C38" i="18"/>
  <c r="G36" i="5"/>
  <c r="G38" i="5"/>
  <c r="J38" i="5" s="1"/>
  <c r="M14" i="19"/>
  <c r="Q38" i="6"/>
  <c r="Q36" i="6"/>
  <c r="J11" i="40"/>
  <c r="J14" i="40" s="1"/>
  <c r="H38" i="21"/>
  <c r="H36" i="21"/>
  <c r="G14" i="40"/>
  <c r="F35" i="37"/>
  <c r="F36" i="37" s="1"/>
  <c r="F35" i="38"/>
  <c r="J36" i="37"/>
  <c r="L14" i="37"/>
  <c r="J35" i="35"/>
  <c r="J13" i="35"/>
  <c r="J14" i="35" s="1"/>
  <c r="J36" i="35" s="1"/>
  <c r="E14" i="34"/>
  <c r="F12" i="34"/>
  <c r="F14" i="34" s="1"/>
  <c r="F36" i="34" s="1"/>
  <c r="E35" i="33"/>
  <c r="P35" i="33"/>
  <c r="Q35" i="33"/>
  <c r="F11" i="31"/>
  <c r="U38" i="31"/>
  <c r="U36" i="31"/>
  <c r="E36" i="29"/>
  <c r="E38" i="29"/>
  <c r="J10" i="31"/>
  <c r="V11" i="31"/>
  <c r="T14" i="31"/>
  <c r="J12" i="31"/>
  <c r="E38" i="30"/>
  <c r="E36" i="30"/>
  <c r="J12" i="29"/>
  <c r="J14" i="29" s="1"/>
  <c r="J36" i="29" s="1"/>
  <c r="H14" i="29"/>
  <c r="C38" i="39"/>
  <c r="F38" i="39" s="1"/>
  <c r="C36" i="39"/>
  <c r="N35" i="27"/>
  <c r="E13" i="31"/>
  <c r="E14" i="31" s="1"/>
  <c r="C13" i="31"/>
  <c r="D13" i="31"/>
  <c r="D14" i="31" s="1"/>
  <c r="R13" i="31"/>
  <c r="F11" i="30"/>
  <c r="H14" i="27"/>
  <c r="I14" i="41"/>
  <c r="E38" i="21"/>
  <c r="K38" i="27"/>
  <c r="K36" i="27"/>
  <c r="I35" i="41"/>
  <c r="L14" i="41"/>
  <c r="N12" i="41"/>
  <c r="J13" i="25"/>
  <c r="J14" i="25" s="1"/>
  <c r="J36" i="25" s="1"/>
  <c r="G14" i="25"/>
  <c r="C38" i="29"/>
  <c r="C36" i="29"/>
  <c r="F35" i="24"/>
  <c r="N35" i="23"/>
  <c r="E35" i="21"/>
  <c r="E36" i="21" s="1"/>
  <c r="E36" i="20"/>
  <c r="E38" i="20"/>
  <c r="P14" i="19"/>
  <c r="K14" i="19"/>
  <c r="G38" i="27"/>
  <c r="G36" i="27"/>
  <c r="E38" i="23"/>
  <c r="F38" i="23" s="1"/>
  <c r="E36" i="23"/>
  <c r="R11" i="19"/>
  <c r="R14" i="19" s="1"/>
  <c r="R36" i="19" s="1"/>
  <c r="O14" i="19"/>
  <c r="F22" i="18"/>
  <c r="H14" i="6"/>
  <c r="J11" i="6"/>
  <c r="J14" i="6" s="1"/>
  <c r="J36" i="6" s="1"/>
  <c r="F14" i="27"/>
  <c r="F36" i="27" s="1"/>
  <c r="E14" i="18"/>
  <c r="K36" i="18"/>
  <c r="K38" i="18"/>
  <c r="F12" i="5"/>
  <c r="F14" i="5" s="1"/>
  <c r="S13" i="40"/>
  <c r="L38" i="40"/>
  <c r="L36" i="40"/>
  <c r="J14" i="19"/>
  <c r="J12" i="5"/>
  <c r="J14" i="5" s="1"/>
  <c r="F12" i="18"/>
  <c r="F14" i="18" s="1"/>
  <c r="F35" i="18"/>
  <c r="I35" i="40"/>
  <c r="D35" i="40"/>
  <c r="D36" i="40" s="1"/>
  <c r="Q35" i="19"/>
  <c r="F21" i="5"/>
  <c r="F35" i="5" s="1"/>
  <c r="O14" i="5"/>
  <c r="F36" i="38"/>
  <c r="N35" i="38"/>
  <c r="N36" i="38" s="1"/>
  <c r="R36" i="34"/>
  <c r="P38" i="34"/>
  <c r="R38" i="34" s="1"/>
  <c r="P36" i="34"/>
  <c r="C35" i="33"/>
  <c r="N10" i="31"/>
  <c r="F36" i="23"/>
  <c r="H14" i="30"/>
  <c r="J11" i="30"/>
  <c r="J14" i="30" s="1"/>
  <c r="J36" i="30" s="1"/>
  <c r="I38" i="27"/>
  <c r="I36" i="27"/>
  <c r="E36" i="28"/>
  <c r="E38" i="28"/>
  <c r="H38" i="25"/>
  <c r="H36" i="25"/>
  <c r="P38" i="6"/>
  <c r="P36" i="6"/>
  <c r="J35" i="27"/>
  <c r="M38" i="18"/>
  <c r="M36" i="18"/>
  <c r="E38" i="40"/>
  <c r="E36" i="40"/>
  <c r="P38" i="5"/>
  <c r="P36" i="5"/>
  <c r="N35" i="37"/>
  <c r="N36" i="37" s="1"/>
  <c r="J35" i="38"/>
  <c r="J36" i="38" s="1"/>
  <c r="E36" i="37"/>
  <c r="E38" i="37"/>
  <c r="F13" i="35"/>
  <c r="N13" i="35" s="1"/>
  <c r="P13" i="33"/>
  <c r="D13" i="33"/>
  <c r="O11" i="33"/>
  <c r="R10" i="33"/>
  <c r="N10" i="33"/>
  <c r="I10" i="33"/>
  <c r="E10" i="33"/>
  <c r="O13" i="33"/>
  <c r="C13" i="33"/>
  <c r="H10" i="33"/>
  <c r="D10" i="33"/>
  <c r="E13" i="33"/>
  <c r="N12" i="33"/>
  <c r="Q12" i="33" s="1"/>
  <c r="D12" i="33"/>
  <c r="P11" i="33"/>
  <c r="O10" i="33"/>
  <c r="O14" i="33" s="1"/>
  <c r="O36" i="33" s="1"/>
  <c r="O38" i="33" s="1"/>
  <c r="N13" i="33"/>
  <c r="C12" i="33"/>
  <c r="F12" i="33" s="1"/>
  <c r="D11" i="33"/>
  <c r="K10" i="33"/>
  <c r="C10" i="33"/>
  <c r="O12" i="33"/>
  <c r="C11" i="33"/>
  <c r="F11" i="33" s="1"/>
  <c r="P10" i="33"/>
  <c r="P14" i="33" s="1"/>
  <c r="P36" i="33" s="1"/>
  <c r="P38" i="33" s="1"/>
  <c r="H12" i="33"/>
  <c r="K11" i="33"/>
  <c r="M11" i="33" s="1"/>
  <c r="G12" i="33"/>
  <c r="J12" i="33" s="1"/>
  <c r="R12" i="33"/>
  <c r="G10" i="33"/>
  <c r="R13" i="33"/>
  <c r="R11" i="33"/>
  <c r="K35" i="33"/>
  <c r="M35" i="33"/>
  <c r="C14" i="31"/>
  <c r="F10" i="31"/>
  <c r="P14" i="31"/>
  <c r="D36" i="24"/>
  <c r="D38" i="24"/>
  <c r="F38" i="24" s="1"/>
  <c r="M38" i="27"/>
  <c r="M36" i="27"/>
  <c r="E35" i="41"/>
  <c r="D36" i="21"/>
  <c r="D38" i="21"/>
  <c r="J35" i="21"/>
  <c r="G38" i="20"/>
  <c r="G36" i="20"/>
  <c r="J35" i="18"/>
  <c r="F35" i="40"/>
  <c r="F36" i="40" s="1"/>
  <c r="F11" i="19"/>
  <c r="F14" i="19" s="1"/>
  <c r="F36" i="19" s="1"/>
  <c r="G14" i="21"/>
  <c r="Q14" i="19"/>
  <c r="J38" i="38"/>
  <c r="G38" i="30"/>
  <c r="G36" i="30"/>
  <c r="D38" i="37"/>
  <c r="F38" i="37" s="1"/>
  <c r="D36" i="37"/>
  <c r="N36" i="34"/>
  <c r="F12" i="35"/>
  <c r="N12" i="35" s="1"/>
  <c r="C14" i="35"/>
  <c r="N11" i="33"/>
  <c r="Q11" i="33" s="1"/>
  <c r="G36" i="34"/>
  <c r="G38" i="34"/>
  <c r="I13" i="33"/>
  <c r="J13" i="33" s="1"/>
  <c r="F35" i="34"/>
  <c r="R35" i="33"/>
  <c r="I38" i="29"/>
  <c r="I36" i="29"/>
  <c r="O14" i="31"/>
  <c r="R10" i="31"/>
  <c r="R12" i="31"/>
  <c r="D36" i="30"/>
  <c r="D38" i="30"/>
  <c r="G35" i="29"/>
  <c r="G36" i="29" s="1"/>
  <c r="D14" i="29"/>
  <c r="E36" i="39"/>
  <c r="E38" i="39"/>
  <c r="F35" i="27"/>
  <c r="Q38" i="31"/>
  <c r="Q36" i="31"/>
  <c r="J13" i="31"/>
  <c r="M13" i="31"/>
  <c r="M14" i="31" s="1"/>
  <c r="K13" i="31"/>
  <c r="K14" i="31" s="1"/>
  <c r="L13" i="31"/>
  <c r="L14" i="31" s="1"/>
  <c r="J14" i="27"/>
  <c r="E38" i="24"/>
  <c r="E36" i="24"/>
  <c r="D14" i="28"/>
  <c r="M14" i="41"/>
  <c r="G38" i="41"/>
  <c r="G36" i="41"/>
  <c r="I38" i="21"/>
  <c r="I36" i="21"/>
  <c r="F14" i="30"/>
  <c r="F36" i="30" s="1"/>
  <c r="K38" i="41"/>
  <c r="K36" i="41"/>
  <c r="N36" i="23"/>
  <c r="E35" i="20"/>
  <c r="I38" i="20"/>
  <c r="I36" i="20"/>
  <c r="F35" i="19"/>
  <c r="R11" i="6"/>
  <c r="R14" i="6" s="1"/>
  <c r="R36" i="6" s="1"/>
  <c r="O14" i="6"/>
  <c r="F11" i="41"/>
  <c r="F14" i="41" s="1"/>
  <c r="J35" i="23"/>
  <c r="J36" i="23" s="1"/>
  <c r="J11" i="21"/>
  <c r="J14" i="21" s="1"/>
  <c r="J36" i="21" s="1"/>
  <c r="J35" i="20"/>
  <c r="J36" i="20" s="1"/>
  <c r="I14" i="19"/>
  <c r="J13" i="18"/>
  <c r="D35" i="6"/>
  <c r="F17" i="6"/>
  <c r="F35" i="6" s="1"/>
  <c r="D14" i="6"/>
  <c r="F11" i="6"/>
  <c r="F14" i="6" s="1"/>
  <c r="J35" i="5"/>
  <c r="N11" i="5"/>
  <c r="N14" i="5" s="1"/>
  <c r="N36" i="5" s="1"/>
  <c r="L14" i="5"/>
  <c r="R35" i="40"/>
  <c r="R36" i="40" s="1"/>
  <c r="F12" i="21"/>
  <c r="C38" i="19"/>
  <c r="F38" i="19" s="1"/>
  <c r="C36" i="19"/>
  <c r="I14" i="18"/>
  <c r="G14" i="19"/>
  <c r="C38" i="21"/>
  <c r="F38" i="21" s="1"/>
  <c r="C36" i="21"/>
  <c r="F11" i="21"/>
  <c r="F14" i="21" s="1"/>
  <c r="F36" i="21" s="1"/>
  <c r="D35" i="20"/>
  <c r="O14" i="40"/>
  <c r="N14" i="40"/>
  <c r="N36" i="40" s="1"/>
  <c r="I35" i="19"/>
  <c r="F38" i="38"/>
  <c r="L14" i="18"/>
  <c r="C14" i="40"/>
  <c r="L38" i="31" l="1"/>
  <c r="L36" i="31"/>
  <c r="D38" i="31"/>
  <c r="D36" i="31"/>
  <c r="H36" i="31"/>
  <c r="H38" i="31"/>
  <c r="K36" i="31"/>
  <c r="K38" i="31"/>
  <c r="N38" i="31" s="1"/>
  <c r="J36" i="40"/>
  <c r="S14" i="40"/>
  <c r="O38" i="31"/>
  <c r="R38" i="31" s="1"/>
  <c r="O36" i="31"/>
  <c r="F38" i="18"/>
  <c r="I38" i="18"/>
  <c r="J38" i="18" s="1"/>
  <c r="I36" i="18"/>
  <c r="F36" i="6"/>
  <c r="M38" i="31"/>
  <c r="M36" i="31"/>
  <c r="J38" i="34"/>
  <c r="Q38" i="19"/>
  <c r="Q36" i="19"/>
  <c r="H14" i="33"/>
  <c r="H38" i="33" s="1"/>
  <c r="H11" i="33"/>
  <c r="I11" i="33"/>
  <c r="I14" i="33"/>
  <c r="I38" i="33" s="1"/>
  <c r="H38" i="30"/>
  <c r="H36" i="30"/>
  <c r="O38" i="5"/>
  <c r="R38" i="5" s="1"/>
  <c r="O36" i="5"/>
  <c r="J36" i="5"/>
  <c r="E38" i="18"/>
  <c r="E36" i="18"/>
  <c r="H38" i="6"/>
  <c r="J38" i="6" s="1"/>
  <c r="H36" i="6"/>
  <c r="K38" i="19"/>
  <c r="K36" i="19"/>
  <c r="L38" i="41"/>
  <c r="N38" i="41" s="1"/>
  <c r="L36" i="41"/>
  <c r="E38" i="31"/>
  <c r="E36" i="31"/>
  <c r="H38" i="29"/>
  <c r="J38" i="29" s="1"/>
  <c r="H36" i="29"/>
  <c r="G14" i="31"/>
  <c r="L38" i="6"/>
  <c r="N38" i="6" s="1"/>
  <c r="L36" i="6"/>
  <c r="N36" i="19"/>
  <c r="V14" i="31"/>
  <c r="V36" i="31" s="1"/>
  <c r="F14" i="35"/>
  <c r="L38" i="18"/>
  <c r="L36" i="18"/>
  <c r="O38" i="40"/>
  <c r="R38" i="40" s="1"/>
  <c r="O36" i="40"/>
  <c r="O38" i="6"/>
  <c r="R38" i="6" s="1"/>
  <c r="O36" i="6"/>
  <c r="D36" i="28"/>
  <c r="D38" i="28"/>
  <c r="J38" i="30"/>
  <c r="K14" i="33"/>
  <c r="M10" i="33"/>
  <c r="M14" i="33" s="1"/>
  <c r="M36" i="33" s="1"/>
  <c r="R14" i="33"/>
  <c r="R36" i="33" s="1"/>
  <c r="R38" i="33" s="1"/>
  <c r="N38" i="18"/>
  <c r="O38" i="19"/>
  <c r="O36" i="19"/>
  <c r="I38" i="41"/>
  <c r="J38" i="41" s="1"/>
  <c r="I36" i="41"/>
  <c r="E38" i="34"/>
  <c r="E36" i="34"/>
  <c r="F38" i="28"/>
  <c r="L38" i="19"/>
  <c r="L36" i="19"/>
  <c r="D38" i="41"/>
  <c r="D36" i="41"/>
  <c r="G38" i="19"/>
  <c r="G36" i="19"/>
  <c r="N13" i="31"/>
  <c r="N14" i="31" s="1"/>
  <c r="N36" i="31" s="1"/>
  <c r="D38" i="29"/>
  <c r="F38" i="29" s="1"/>
  <c r="D36" i="29"/>
  <c r="C38" i="35"/>
  <c r="F38" i="35" s="1"/>
  <c r="C36" i="35"/>
  <c r="J38" i="20"/>
  <c r="C36" i="31"/>
  <c r="C38" i="31"/>
  <c r="D14" i="33"/>
  <c r="E14" i="33"/>
  <c r="F36" i="18"/>
  <c r="J38" i="27"/>
  <c r="N38" i="27"/>
  <c r="H38" i="27"/>
  <c r="H36" i="27"/>
  <c r="F13" i="31"/>
  <c r="F14" i="31" s="1"/>
  <c r="F36" i="31" s="1"/>
  <c r="J14" i="31"/>
  <c r="J36" i="31" s="1"/>
  <c r="M38" i="19"/>
  <c r="M36" i="19"/>
  <c r="F38" i="34"/>
  <c r="K38" i="40"/>
  <c r="N38" i="40" s="1"/>
  <c r="K36" i="40"/>
  <c r="D38" i="20"/>
  <c r="F38" i="20" s="1"/>
  <c r="D36" i="20"/>
  <c r="F38" i="27"/>
  <c r="C38" i="40"/>
  <c r="F38" i="40" s="1"/>
  <c r="C36" i="40"/>
  <c r="L36" i="5"/>
  <c r="L38" i="5"/>
  <c r="N38" i="5" s="1"/>
  <c r="D38" i="6"/>
  <c r="F38" i="6" s="1"/>
  <c r="D36" i="6"/>
  <c r="I36" i="19"/>
  <c r="I38" i="19"/>
  <c r="F36" i="41"/>
  <c r="M38" i="41"/>
  <c r="M36" i="41"/>
  <c r="J36" i="27"/>
  <c r="R14" i="31"/>
  <c r="R36" i="31" s="1"/>
  <c r="G38" i="21"/>
  <c r="J38" i="21" s="1"/>
  <c r="G36" i="21"/>
  <c r="P36" i="31"/>
  <c r="P38" i="31"/>
  <c r="G11" i="33"/>
  <c r="J11" i="33" s="1"/>
  <c r="J10" i="33"/>
  <c r="C14" i="33"/>
  <c r="F10" i="33"/>
  <c r="Q13" i="33"/>
  <c r="F13" i="33"/>
  <c r="Q10" i="33"/>
  <c r="N14" i="33"/>
  <c r="N36" i="33" s="1"/>
  <c r="N38" i="33" s="1"/>
  <c r="Q38" i="33" s="1"/>
  <c r="J36" i="19"/>
  <c r="F36" i="5"/>
  <c r="P38" i="19"/>
  <c r="P36" i="19"/>
  <c r="G38" i="25"/>
  <c r="J38" i="25" s="1"/>
  <c r="G36" i="25"/>
  <c r="T38" i="31"/>
  <c r="T36" i="31"/>
  <c r="L36" i="37"/>
  <c r="L38" i="37"/>
  <c r="N38" i="37" s="1"/>
  <c r="G38" i="40"/>
  <c r="J38" i="40" s="1"/>
  <c r="G36" i="40"/>
  <c r="I38" i="31"/>
  <c r="I36" i="31"/>
  <c r="G38" i="35"/>
  <c r="J38" i="35" s="1"/>
  <c r="G36" i="35"/>
  <c r="F38" i="30"/>
  <c r="F38" i="41"/>
  <c r="S36" i="31"/>
  <c r="S38" i="31"/>
  <c r="V38" i="31" s="1"/>
  <c r="F36" i="35" l="1"/>
  <c r="N14" i="35"/>
  <c r="J38" i="19"/>
  <c r="G38" i="31"/>
  <c r="J38" i="31" s="1"/>
  <c r="G36" i="31"/>
  <c r="E36" i="33"/>
  <c r="E38" i="33"/>
  <c r="D36" i="33"/>
  <c r="D38" i="33"/>
  <c r="F14" i="33"/>
  <c r="F36" i="33" s="1"/>
  <c r="G14" i="33"/>
  <c r="G38" i="33" s="1"/>
  <c r="F38" i="31"/>
  <c r="Q14" i="33"/>
  <c r="Q36" i="33" s="1"/>
  <c r="C38" i="33"/>
  <c r="F38" i="33" s="1"/>
  <c r="C36" i="33"/>
  <c r="R38" i="19"/>
  <c r="K38" i="33"/>
  <c r="M38" i="33" s="1"/>
  <c r="K36" i="33"/>
  <c r="N38" i="19"/>
</calcChain>
</file>

<file path=xl/sharedStrings.xml><?xml version="1.0" encoding="utf-8"?>
<sst xmlns="http://schemas.openxmlformats.org/spreadsheetml/2006/main" count="1713" uniqueCount="151">
  <si>
    <t>no 3-6 gadiem</t>
  </si>
  <si>
    <t>Brokastis</t>
  </si>
  <si>
    <t>Pusdienas</t>
  </si>
  <si>
    <t>Launags</t>
  </si>
  <si>
    <t>Kopā</t>
  </si>
  <si>
    <t>Sabiles PII Vīnodziņa</t>
  </si>
  <si>
    <t>Valdemārpils PII Saulstariņš</t>
  </si>
  <si>
    <t>Laidzes PII Papardīte</t>
  </si>
  <si>
    <t>Vandzenes PII Zīlīte</t>
  </si>
  <si>
    <t>Talsu PII Kastanītis</t>
  </si>
  <si>
    <t>Laucienes pamatskola</t>
  </si>
  <si>
    <t>Lībagu sākumskola</t>
  </si>
  <si>
    <t>Citi</t>
  </si>
  <si>
    <t xml:space="preserve"> </t>
  </si>
  <si>
    <t>Maksas pakalpojuma izcenojuma aprēķins</t>
  </si>
  <si>
    <t>EKK</t>
  </si>
  <si>
    <t>Rādītājs</t>
  </si>
  <si>
    <t>Tiešās izmaksas (Tizm)</t>
  </si>
  <si>
    <t>Pārtikas produkti</t>
  </si>
  <si>
    <t>Virtuves darbinieku darba samaksa</t>
  </si>
  <si>
    <t>Valsts sociālās apdrošināšanas obligātās iemaksas no virtuves darbinieku darba samaksas, pabalsti un kompensācijas</t>
  </si>
  <si>
    <t>Ūdens un kanalizācija</t>
  </si>
  <si>
    <t>Elektroenerģija</t>
  </si>
  <si>
    <t>Tiešās izmaksas kopā:</t>
  </si>
  <si>
    <t>Netiešās izmaksas (Nizm)</t>
  </si>
  <si>
    <t>Pārējo iesaistīto darbinieku darba samaksa</t>
  </si>
  <si>
    <t>Valsts sociālās apdrošināšanas obligātās iemaksas no pārējo iesaistīto darbinieku darba samaksas, pabalsti un kompensācijas</t>
  </si>
  <si>
    <t>Sakaru pakalpojumi, internets</t>
  </si>
  <si>
    <t>Apkure</t>
  </si>
  <si>
    <t>Atkritumu izvešana</t>
  </si>
  <si>
    <t>Iesaistīto darbinieku veselības pārbaudes</t>
  </si>
  <si>
    <t>Darbinieku apmācība</t>
  </si>
  <si>
    <t>Iekārtu, inventāra remonta izdevumi</t>
  </si>
  <si>
    <t>Ēku, būvju, telpu uzturēšana</t>
  </si>
  <si>
    <t>Apdrošināšanas izdevumi</t>
  </si>
  <si>
    <t>Informācijas sistēmas uzturēšana</t>
  </si>
  <si>
    <t>Biroja preces</t>
  </si>
  <si>
    <t>Inventārs</t>
  </si>
  <si>
    <t>Kurināmais</t>
  </si>
  <si>
    <t>Medikamenti</t>
  </si>
  <si>
    <t>Saimniecības preces</t>
  </si>
  <si>
    <t>Dezinfekcijas līdzekļi</t>
  </si>
  <si>
    <t>Virtuves inventārs</t>
  </si>
  <si>
    <t>Virtuves pamatlīdzekļu nolietojums</t>
  </si>
  <si>
    <t>Netiešās izmaksas kopā:</t>
  </si>
  <si>
    <t>Pakalpojuma izmaksas kopā:</t>
  </si>
  <si>
    <t>Prognozētais maksas pakalpojumu skaits mēnesī, gab. (Vsk)*</t>
  </si>
  <si>
    <t>X</t>
  </si>
  <si>
    <t>līdz 3 gadiem</t>
  </si>
  <si>
    <t>3-6g.v (olu nepanesamība)</t>
  </si>
  <si>
    <t>3-6 g.v. (riekstu,sezama, kivi nepanesamība)</t>
  </si>
  <si>
    <t>Diēta griķi</t>
  </si>
  <si>
    <t>Diēta piens</t>
  </si>
  <si>
    <t>3-6 g.v. (piena nepanesamība)</t>
  </si>
  <si>
    <t>Piena, bezglutena diēta</t>
  </si>
  <si>
    <t>diētas ēdienkarte</t>
  </si>
  <si>
    <t>Olbv., nep.BL</t>
  </si>
  <si>
    <t>Olbv., nepan.E</t>
  </si>
  <si>
    <t>Pastendes PII Ķipars</t>
  </si>
  <si>
    <t>Polb. 3-6</t>
  </si>
  <si>
    <t>3-6 gadiem</t>
  </si>
  <si>
    <t>Laucienes  PII Bitīte</t>
  </si>
  <si>
    <t>no 3-6 gadiem (LL)</t>
  </si>
  <si>
    <t>no 3-6 gadiem (L)</t>
  </si>
  <si>
    <t>Mērsraga PII Dārta</t>
  </si>
  <si>
    <t>Diēta 3-6</t>
  </si>
  <si>
    <t>Rojas PII Zelta zivtiņa</t>
  </si>
  <si>
    <t>Dundagas PII Kurzemīte</t>
  </si>
  <si>
    <t>Stendes pamatskola</t>
  </si>
  <si>
    <t>3-6 klase</t>
  </si>
  <si>
    <t>1-4 klase</t>
  </si>
  <si>
    <t>5-9 klase</t>
  </si>
  <si>
    <t>Pūņu pamatskola</t>
  </si>
  <si>
    <t>3-6 gadi</t>
  </si>
  <si>
    <t>Mērsraga vidusskola</t>
  </si>
  <si>
    <t>10-12 klase</t>
  </si>
  <si>
    <t>Kolkas pamatskola</t>
  </si>
  <si>
    <t>1.grupa</t>
  </si>
  <si>
    <t>2.grupa</t>
  </si>
  <si>
    <t>Kopā pārtika</t>
  </si>
  <si>
    <t>Kopā izmaksas</t>
  </si>
  <si>
    <t>Kopā izdevumi</t>
  </si>
  <si>
    <t>Kopā  pārtika</t>
  </si>
  <si>
    <t>Kopā pāttika</t>
  </si>
  <si>
    <t>kopā pārtika</t>
  </si>
  <si>
    <t>kopā izdevumi</t>
  </si>
  <si>
    <t>kopā izmaksas</t>
  </si>
  <si>
    <t>1/2 no kopējiem izdevumiem</t>
  </si>
  <si>
    <t>Virbu sākumskola</t>
  </si>
  <si>
    <t>Proporcionāli platībai (Ēdināšanas bloka platība*apkures izmaksas/kopējā platība)</t>
  </si>
  <si>
    <t>20% apmērā no kopējiem izdevumiem</t>
  </si>
  <si>
    <t>Veselības pārbaudes ēdināšanas nodrošināšanā iesaistītajiem darbiniekiem (darbinieku slodzes*pašvaldības noteiktā norma uz darbinieku)</t>
  </si>
  <si>
    <t>Kursi par minimālās higiēnas prasībām</t>
  </si>
  <si>
    <t xml:space="preserve">Kopējie izdevumi virtuves iekārtu remontam </t>
  </si>
  <si>
    <t>Proporcionāli platībai (Ēdināšanas bloka platība*EKK faktiskie izdevumi/kopējā platība)</t>
  </si>
  <si>
    <t>Proporcionāli platībai (Ēdināšanas bloka platība*Ēku apdrošināšanas līguma kopsumma/kopējā objektu platība apdrošināšanas līgumā iekļautajām ēkām)</t>
  </si>
  <si>
    <t>Ēdināšanas uzskaites programmas tehniskā apkalpošana</t>
  </si>
  <si>
    <t>5% apmērā no kopējiem izdevumiem</t>
  </si>
  <si>
    <t>10% apmērā no kopējiem izdevumiem</t>
  </si>
  <si>
    <t>Proporcionāli platībai (Ēdināšanas bloka platība*izlietotā malka EUR/kopējā platība)</t>
  </si>
  <si>
    <t>1% apmērā no kopējiem izdevumiem</t>
  </si>
  <si>
    <t>Kopējie izdevumi</t>
  </si>
  <si>
    <t>2350.2</t>
  </si>
  <si>
    <t>2350.7</t>
  </si>
  <si>
    <t>2350.5</t>
  </si>
  <si>
    <t>Līdz 2 gadu vecumam</t>
  </si>
  <si>
    <t>No 3-6 gadu vecumam</t>
  </si>
  <si>
    <t>Piena - glutēna nepanesība</t>
  </si>
  <si>
    <t>10% apmērā no kopējiem izdevumiem (sarakste ar piegādātājiem, ēdināšanas uzskaites programmu darbība)</t>
  </si>
  <si>
    <r>
      <t xml:space="preserve">Maksas pakalpojuma veids: </t>
    </r>
    <r>
      <rPr>
        <u/>
        <sz val="11"/>
        <color theme="1"/>
        <rFont val="Times New Roman"/>
        <family val="1"/>
        <charset val="186"/>
      </rPr>
      <t>ēdināšana</t>
    </r>
  </si>
  <si>
    <t xml:space="preserve"> līdz 2 gadiem</t>
  </si>
  <si>
    <t>no 3. -6.gadiem</t>
  </si>
  <si>
    <t>PII Sprīdītis</t>
  </si>
  <si>
    <t xml:space="preserve"> PII Saulīte</t>
  </si>
  <si>
    <t xml:space="preserve"> PII Zvaniņš</t>
  </si>
  <si>
    <t xml:space="preserve"> PII Pīlādzītis</t>
  </si>
  <si>
    <t>1.-4.klase</t>
  </si>
  <si>
    <t>līdz 2.gadiem</t>
  </si>
  <si>
    <t>no 3. - 6.gadiem</t>
  </si>
  <si>
    <t>līdz 3.gadiem</t>
  </si>
  <si>
    <t xml:space="preserve">3-7.gadiem </t>
  </si>
  <si>
    <t>1.-.4.klase</t>
  </si>
  <si>
    <t>Maksas pakalpojuma izcenojums euro (pakalpojuma tiešās izmaksas dalītas ar maksas pakalpojuma vienību skaitu mēnesī) (Imp)</t>
  </si>
  <si>
    <t>Maksas pakalpojuma izcenojums euro (pakalpojuma tiešāss izmaksas dalītas ar maksas pakalpojuma vienību skaitu mēnesī) (Imp)</t>
  </si>
  <si>
    <t>Rojas PII Zelta zivtiņa Rudē</t>
  </si>
  <si>
    <r>
      <t>Maksas pakalpojuma izcenojums euro (</t>
    </r>
    <r>
      <rPr>
        <u/>
        <sz val="12"/>
        <color theme="1"/>
        <rFont val="Times New Roman"/>
        <family val="1"/>
        <charset val="186"/>
      </rPr>
      <t>pārtikas produktu izmaksas</t>
    </r>
    <r>
      <rPr>
        <sz val="12"/>
        <color theme="1"/>
        <rFont val="Times New Roman"/>
        <family val="1"/>
        <charset val="186"/>
      </rPr>
      <t xml:space="preserve"> dalītas ar maksas pakalpojuma vienību skaitu mēnesī) (Imp)</t>
    </r>
  </si>
  <si>
    <r>
      <t xml:space="preserve">Maksas pakalpojuma veids: </t>
    </r>
    <r>
      <rPr>
        <u/>
        <sz val="12"/>
        <color theme="1"/>
        <rFont val="Times New Roman"/>
        <family val="1"/>
        <charset val="186"/>
      </rPr>
      <t>ēdināšana</t>
    </r>
  </si>
  <si>
    <r>
      <t>Maksas pakalpojuma izcenojums euro (</t>
    </r>
    <r>
      <rPr>
        <u/>
        <sz val="12"/>
        <color theme="1"/>
        <rFont val="Times New Roman"/>
        <family val="1"/>
        <charset val="186"/>
      </rPr>
      <t>pakalpojuma kopējās izmaksas</t>
    </r>
    <r>
      <rPr>
        <sz val="12"/>
        <color theme="1"/>
        <rFont val="Times New Roman"/>
        <family val="1"/>
        <charset val="186"/>
      </rPr>
      <t xml:space="preserve"> dalītas ar maksas pakalpojuma vienību skaitu mēnesī) (Imp)</t>
    </r>
  </si>
  <si>
    <r>
      <t>Maksas pakalpojuma izcenojums euro (</t>
    </r>
    <r>
      <rPr>
        <u/>
        <sz val="12"/>
        <color theme="1"/>
        <rFont val="Times New Roman"/>
        <family val="1"/>
        <charset val="186"/>
      </rPr>
      <t>pakalpojumatiešāss izmaksas</t>
    </r>
    <r>
      <rPr>
        <sz val="12"/>
        <color theme="1"/>
        <rFont val="Times New Roman"/>
        <family val="1"/>
        <charset val="186"/>
      </rPr>
      <t xml:space="preserve"> dalītas ar maksas pakalpojuma vienību skaitu mēnesī) (Imp)</t>
    </r>
  </si>
  <si>
    <t>1.Pielikums
Talsu novada pašvaldības lēmumam "Par ēdināšanas maksas apstiprināšanu 
Talsu novada izglītības iestādēs, kurās ēdienu sagatavošanu veic pašvaldība"</t>
  </si>
  <si>
    <t>2.Pielikums
 Talsu novada pašvaldības rlēmumam "Par ēdināšanas maksas apstiprināšanu 
Talsu novada izglītības iestādēs, kurās ēdienu sagatavošanu veic pašvaldība"</t>
  </si>
  <si>
    <t>3.Pielikums
Talsu novada pašvaldības lēmumam "Par ēdināšanas maksas apstiprināšanu 
Talsu novada izglītības iestādēs, kurās ēdienu sagatavošanu veic pašvaldība"</t>
  </si>
  <si>
    <t>4.Pielikums
Talsu novada pašvaldības lēmumam "Par ēdināšanas maksas apstiprināšanu 
Talsu novada izglītības iestādēs, kurās ēdienu sagatavošanu veic pašvaldība"</t>
  </si>
  <si>
    <t>5.Pielikums
Talsu novada pašvaldības lēmumam "Par ēdināšanas maksas apstiprināšanu 
Talsu novada izglītības iestādēs, kurās ēdienu sagatavošanu veic pašvaldība"</t>
  </si>
  <si>
    <t>6.Pielikums
Talsu novada pašvaldības lēmumam "Par ēdināšanas maksas apstiprināšanu 
Talsu novada izglītības iestādēs, kurās ēdienu sagatavošanu veic pašvaldība"</t>
  </si>
  <si>
    <t>7.Pielikums
Talsu novada pašvaldības lēmumam "Par ēdināšanas maksas apstiprināšanu 
Talsu novada izglītības iestādēs, kurās ēdienu sagatavošanu veic pašvaldība"</t>
  </si>
  <si>
    <t>8.Pielikums
Talsu novada pašvaldības lēmumam "Par ēdināšanas maksas apstiprināšanu 
Talsu novada izglītības iestādēs, kurās ēdienu sagatavošanu veic pašvaldība"</t>
  </si>
  <si>
    <t>9.Pielikums
Talsu novada pašvaldības lēmumam "Par ēdināšanas maksas apstiprināšanu 
Talsu novada izglītības iestādēs, kurās ēdienu sagatavošanu veic pašvaldība"</t>
  </si>
  <si>
    <t>10.Pielikums
Talsu novada pašvaldības lēmumam "Par ēdināšanas maksas apstiprināšanu 
Talsu novada izglītības iestādēs, kurās ēdienu sagatavošanu veic pašvaldība"</t>
  </si>
  <si>
    <t>11.Pielikums
Talsu novada pašvaldības lēmumam "Par ēdināšanas maksas apstiprināšanu 
Talsu novada izglītības iestādēs, kurās ēdienu sagatavošanu veic pašvaldība"</t>
  </si>
  <si>
    <t>12.Pielikums
Talsu novada pašvaldības lēmumam "Par ēdināšanas maksas apstiprināšanu 
Talsu novada izglītības iestādēs, kurās ēdienu sagatavošanu veic pašvaldība"</t>
  </si>
  <si>
    <t>13.Pielikums
Talsu novada pašvaldības lēmumam "Par ēdināšanas maksas apstiprināšanu 
Talsu novada izglītības iestādēs, kurās ēdienu sagatavošanu veic pašvaldība"</t>
  </si>
  <si>
    <t>14.Pielikums
Talsu novada pašvaldības rīklēmumam "Par ēdināšanas maksas apstiprināšanu 
Talsu novada izglītības iestādēs, kurās ēdienu sagatavošanu veic pašvaldība"</t>
  </si>
  <si>
    <t>15.Pielikums
Talsu novada pašvaldības lēmumam"Par ēdināšanas maksas apstiprināšanu 
Talsu novada izglītības iestādēs, kurās ēdienu sagatavošanu veic pašvaldība"</t>
  </si>
  <si>
    <t>16.Pielikums
Talsu novada pašvaldības lēmumam "Par ēdināšanas maksas apstiprināšanu 
Talsu novada izglītības iestādēs, kurās ēdienu sagatavošanu veic pašvaldība"</t>
  </si>
  <si>
    <t>17.Pielikums
Talsu novada pašvaldības lēmumam "Par ēdināšanas maksas apstiprināšanu 
Talsu novada izglītības iestādēs, kurās ēdienu sagatavošanu veic pašvaldība"</t>
  </si>
  <si>
    <t>18.Pielikums
Talsu novada pašvaldības lēmumam "Par ēdināšanas maksas apstiprināšanu 
Talsu novada izglītības iestādēs, kurās ēdienu sagatavošanu veic pašvaldība"</t>
  </si>
  <si>
    <t>19.Pielikums
Talsu novada pašvaldības lēmumam "Par ēdināšanas maksas apstiprināšanu 
Talsu novada izglītības iestādēs, kurās ēdienu sagatavošanu veic pašvaldība"</t>
  </si>
  <si>
    <t>20.Pielikums
Talsu novada pašvaldības lēmumam "Par ēdināšanas maksas apstiprināšanu 
Talsu novada izglītības iestādēs, kurās ēdienu sagatavošanu veic pašvaldība"</t>
  </si>
  <si>
    <t>21.Pielikums
Talsu novada pašvaldības lēmumam "Par ēdināšanas maksas apstiprināšanu 
Talsu novada izglītības iestādēs, kurās ēdienu sagatavošanu veic pašvaldība"</t>
  </si>
  <si>
    <t>22.Pielikums
Talsu novada pašvaldības lēmumam "Par ēdināšanas maksas apstiprināšanu 
Talsu novada izglītības iestādēs, kurās ēdienu sagatavošanu veic pašvaldība"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</si>
</sst>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11"/>
      <color theme="0"/>
      <name val="Times New Roman"/>
      <family val="1"/>
      <charset val="186"/>
    </font>
    <font>
      <sz val="12"/>
      <color theme="0"/>
      <name val="Calibri"/>
      <family val="2"/>
      <charset val="186"/>
      <scheme val="minor"/>
    </font>
    <font>
      <u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u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12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2" fontId="4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2" fontId="6" fillId="0" borderId="0" xfId="0" applyNumberFormat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2" xfId="0" applyFont="1" applyBorder="1" applyAlignment="1">
      <alignment vertical="center"/>
    </xf>
    <xf numFmtId="2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2" fontId="11" fillId="0" borderId="0" xfId="0" applyNumberFormat="1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2" fontId="10" fillId="4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7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8" fillId="0" borderId="0" xfId="0" applyFont="1"/>
    <xf numFmtId="0" fontId="1" fillId="0" borderId="0" xfId="0" applyFont="1"/>
    <xf numFmtId="2" fontId="12" fillId="0" borderId="0" xfId="0" applyNumberFormat="1" applyFont="1"/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2" fontId="8" fillId="0" borderId="0" xfId="0" applyNumberFormat="1" applyFont="1"/>
    <xf numFmtId="1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/>
    <xf numFmtId="2" fontId="16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2" fontId="19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2" fontId="16" fillId="0" borderId="0" xfId="0" applyNumberFormat="1" applyFont="1"/>
    <xf numFmtId="0" fontId="21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1" fontId="1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2" fontId="16" fillId="4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0" fillId="0" borderId="0" xfId="0" applyFont="1"/>
    <xf numFmtId="2" fontId="4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3549-BD75-4750-AD4D-3E0AB3EC6F67}">
  <dimension ref="A1:AI42"/>
  <sheetViews>
    <sheetView topLeftCell="A10" workbookViewId="0">
      <selection activeCell="L1" sqref="L1:R1"/>
    </sheetView>
  </sheetViews>
  <sheetFormatPr defaultColWidth="9.109375" defaultRowHeight="15.6" x14ac:dyDescent="0.3"/>
  <cols>
    <col min="1" max="1" width="10.6640625" style="65" customWidth="1"/>
    <col min="2" max="2" width="43" style="65" customWidth="1"/>
    <col min="3" max="18" width="10.6640625" style="71" customWidth="1"/>
    <col min="19" max="19" width="10.44140625" style="84" hidden="1" customWidth="1"/>
    <col min="20" max="20" width="11.5546875" style="84" hidden="1" customWidth="1"/>
    <col min="21" max="21" width="13.44140625" style="84" hidden="1" customWidth="1"/>
    <col min="22" max="22" width="9.33203125" style="68" hidden="1" customWidth="1"/>
    <col min="23" max="23" width="24.88671875" style="69" hidden="1" customWidth="1"/>
    <col min="24" max="25" width="9.33203125" style="69" hidden="1" customWidth="1"/>
    <col min="26" max="26" width="9.33203125" style="70" hidden="1" customWidth="1"/>
    <col min="27" max="28" width="9.33203125" style="70" customWidth="1"/>
    <col min="29" max="29" width="23.6640625" style="70" customWidth="1"/>
    <col min="30" max="31" width="9.33203125" style="70" customWidth="1"/>
    <col min="32" max="32" width="11.5546875" style="70" customWidth="1"/>
    <col min="33" max="34" width="9.33203125" style="70" customWidth="1"/>
    <col min="35" max="35" width="11.5546875" style="70" bestFit="1" customWidth="1"/>
    <col min="36" max="36" width="12.6640625" style="70" bestFit="1" customWidth="1"/>
    <col min="37" max="16384" width="9.109375" style="70"/>
  </cols>
  <sheetData>
    <row r="1" spans="1:35" ht="76.5" customHeight="1" x14ac:dyDescent="0.3">
      <c r="A1" s="66"/>
      <c r="B1" s="97"/>
      <c r="C1" s="97"/>
      <c r="D1" s="97"/>
      <c r="E1" s="97"/>
      <c r="F1" s="97"/>
      <c r="G1" s="97"/>
      <c r="H1" s="97"/>
      <c r="I1" s="97"/>
      <c r="J1" s="97"/>
      <c r="K1" s="97"/>
      <c r="L1" s="14" t="s">
        <v>129</v>
      </c>
      <c r="M1" s="14"/>
      <c r="N1" s="14"/>
      <c r="O1" s="14"/>
      <c r="P1" s="14"/>
      <c r="Q1" s="14"/>
      <c r="R1" s="14"/>
      <c r="S1" s="72"/>
      <c r="T1" s="67"/>
      <c r="U1" s="67"/>
      <c r="V1" s="67"/>
      <c r="W1" s="102"/>
      <c r="X1" s="102"/>
      <c r="Y1" s="102"/>
      <c r="Z1" s="97"/>
      <c r="AA1" s="97"/>
    </row>
    <row r="2" spans="1:35" x14ac:dyDescent="0.3"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72"/>
      <c r="T2" s="72"/>
    </row>
    <row r="3" spans="1:35" x14ac:dyDescent="0.3">
      <c r="A3" s="64" t="s">
        <v>14</v>
      </c>
    </row>
    <row r="4" spans="1:35" x14ac:dyDescent="0.3">
      <c r="A4" s="16" t="s">
        <v>126</v>
      </c>
      <c r="B4" s="66"/>
      <c r="C4" s="65"/>
      <c r="T4" s="85"/>
    </row>
    <row r="5" spans="1:35" ht="19.5" customHeight="1" x14ac:dyDescent="0.3">
      <c r="A5" s="16"/>
      <c r="B5" s="98"/>
      <c r="D5" s="99"/>
      <c r="E5" s="99"/>
      <c r="F5" s="99"/>
      <c r="S5" s="85"/>
    </row>
    <row r="6" spans="1:35" ht="26.25" customHeight="1" x14ac:dyDescent="0.3">
      <c r="A6" s="12" t="s">
        <v>112</v>
      </c>
      <c r="B6" s="12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K6" s="11" t="s">
        <v>49</v>
      </c>
      <c r="L6" s="11"/>
      <c r="M6" s="11"/>
      <c r="N6" s="11"/>
      <c r="O6" s="10" t="s">
        <v>50</v>
      </c>
      <c r="P6" s="10"/>
      <c r="Q6" s="10"/>
      <c r="R6" s="10"/>
      <c r="S6" s="85"/>
      <c r="T6" s="72" t="s">
        <v>79</v>
      </c>
      <c r="U6" s="100" t="s">
        <v>80</v>
      </c>
      <c r="Y6" s="70"/>
    </row>
    <row r="7" spans="1:35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  <c r="O7" s="57" t="s">
        <v>1</v>
      </c>
      <c r="P7" s="57" t="s">
        <v>2</v>
      </c>
      <c r="Q7" s="57" t="s">
        <v>3</v>
      </c>
      <c r="R7" s="57" t="s">
        <v>4</v>
      </c>
      <c r="S7" s="103"/>
      <c r="T7" s="103"/>
      <c r="U7" s="68"/>
      <c r="Y7" s="70"/>
    </row>
    <row r="8" spans="1:35" ht="15" customHeight="1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U8" s="68"/>
      <c r="Y8" s="70"/>
    </row>
    <row r="9" spans="1:35" ht="15" customHeight="1" x14ac:dyDescent="0.3">
      <c r="A9" s="58">
        <v>2363</v>
      </c>
      <c r="B9" s="55" t="s">
        <v>18</v>
      </c>
      <c r="C9" s="59">
        <v>90.61</v>
      </c>
      <c r="D9" s="59">
        <v>181.91</v>
      </c>
      <c r="E9" s="59">
        <v>102.51</v>
      </c>
      <c r="F9" s="59">
        <f>C9+D9+E9</f>
        <v>375.03</v>
      </c>
      <c r="G9" s="59">
        <v>1019.9</v>
      </c>
      <c r="H9" s="59">
        <v>2652.42</v>
      </c>
      <c r="I9" s="59">
        <v>1074.67</v>
      </c>
      <c r="J9" s="59">
        <f>SUM(G9:I9)</f>
        <v>4746.99</v>
      </c>
      <c r="K9" s="59">
        <v>0.25</v>
      </c>
      <c r="L9" s="59">
        <v>0.71</v>
      </c>
      <c r="M9" s="59">
        <v>1.1200000000000001</v>
      </c>
      <c r="N9" s="59">
        <f>SUM(K9:M9)</f>
        <v>2.08</v>
      </c>
      <c r="O9" s="59">
        <v>3.4</v>
      </c>
      <c r="P9" s="59">
        <v>7.65</v>
      </c>
      <c r="Q9" s="59">
        <v>5.19</v>
      </c>
      <c r="R9" s="59">
        <f>SUM(O9:Q9)</f>
        <v>16.240000000000002</v>
      </c>
      <c r="S9" s="88"/>
      <c r="T9" s="88">
        <v>5139.76</v>
      </c>
      <c r="U9" s="68"/>
      <c r="Y9" s="70"/>
    </row>
    <row r="10" spans="1:35" ht="15" customHeight="1" x14ac:dyDescent="0.3">
      <c r="A10" s="58">
        <v>1100</v>
      </c>
      <c r="B10" s="55" t="s">
        <v>19</v>
      </c>
      <c r="C10" s="60">
        <f>U10/T9*C9</f>
        <v>54.709664167198461</v>
      </c>
      <c r="D10" s="60">
        <f>U10/T9*D9</f>
        <v>109.83594535542514</v>
      </c>
      <c r="E10" s="60">
        <f>U10/T9*E9</f>
        <v>61.894798297975001</v>
      </c>
      <c r="F10" s="60">
        <f>SUM(C10:E10)</f>
        <v>226.44040782059861</v>
      </c>
      <c r="G10" s="60">
        <f>U10/T9*G9</f>
        <v>615.80826050243581</v>
      </c>
      <c r="H10" s="60">
        <f>U10/T9*H9</f>
        <v>1601.5120563995206</v>
      </c>
      <c r="I10" s="60">
        <f>U10/T9*I9</f>
        <v>648.8779912875309</v>
      </c>
      <c r="J10" s="60">
        <f>SUM(G10:I10)</f>
        <v>2866.1983081894869</v>
      </c>
      <c r="K10" s="59">
        <f>U10/T9*K9</f>
        <v>0.1509481960247171</v>
      </c>
      <c r="L10" s="59">
        <f>U10/T9*L9</f>
        <v>0.42869287671019651</v>
      </c>
      <c r="M10" s="59">
        <f>U10/T9*M9</f>
        <v>0.6762479181907326</v>
      </c>
      <c r="N10" s="59">
        <f>SUM(K10:M10)</f>
        <v>1.2558889909256461</v>
      </c>
      <c r="O10" s="59">
        <f>U10/T9*O9</f>
        <v>2.0528954659361522</v>
      </c>
      <c r="P10" s="59">
        <f>U10/T9*P9</f>
        <v>4.6190147983563437</v>
      </c>
      <c r="Q10" s="59">
        <f>U10/T9*Q9</f>
        <v>3.1336845494731271</v>
      </c>
      <c r="R10" s="59">
        <f>SUM(O10:Q10)</f>
        <v>9.805594813765623</v>
      </c>
      <c r="S10" s="88"/>
      <c r="T10" s="88"/>
      <c r="U10" s="101">
        <v>3103.35</v>
      </c>
      <c r="Y10" s="70"/>
    </row>
    <row r="11" spans="1:35" ht="15" customHeight="1" x14ac:dyDescent="0.3">
      <c r="A11" s="58">
        <v>1200</v>
      </c>
      <c r="B11" s="55" t="s">
        <v>20</v>
      </c>
      <c r="C11" s="60">
        <f>U11/T9*C9</f>
        <v>12.906009777042117</v>
      </c>
      <c r="D11" s="60">
        <f>U11/T9*D9</f>
        <v>25.910299509344792</v>
      </c>
      <c r="E11" s="60">
        <f>U11/T9*E9</f>
        <v>14.600982918492303</v>
      </c>
      <c r="F11" s="60">
        <f>SUM(C11:E11)</f>
        <v>53.417292204879217</v>
      </c>
      <c r="G11" s="60">
        <f>U11/T9*G9</f>
        <v>145.26916865252463</v>
      </c>
      <c r="H11" s="60">
        <f>U11/T9*H9</f>
        <v>377.79669410464692</v>
      </c>
      <c r="I11" s="60">
        <f>U11/T9*I9</f>
        <v>153.07031814472856</v>
      </c>
      <c r="J11" s="60">
        <f>SUM(G11:I11)</f>
        <v>676.13618090190016</v>
      </c>
      <c r="K11" s="59">
        <f>U11/T9*K9</f>
        <v>3.5608679442230763E-2</v>
      </c>
      <c r="L11" s="59">
        <f>U11/T9*L9</f>
        <v>0.10112864961593536</v>
      </c>
      <c r="M11" s="59">
        <f>U11/T9*M9</f>
        <v>0.15952688390119382</v>
      </c>
      <c r="N11" s="59">
        <f>SUM(K11:M11)</f>
        <v>0.29626421295935995</v>
      </c>
      <c r="O11" s="59">
        <f>U11/T9*O9</f>
        <v>0.48427804041433836</v>
      </c>
      <c r="P11" s="59">
        <f>U11/T9*P9</f>
        <v>1.0896255909322614</v>
      </c>
      <c r="Q11" s="59">
        <f>U11/T9*Q9</f>
        <v>0.73923618522071066</v>
      </c>
      <c r="R11" s="59">
        <f>SUM(O11:Q11)</f>
        <v>2.3131398165673103</v>
      </c>
      <c r="S11" s="88"/>
      <c r="T11" s="88"/>
      <c r="U11" s="68">
        <f>U10*0.2359</f>
        <v>732.08026499999994</v>
      </c>
      <c r="Y11" s="70"/>
    </row>
    <row r="12" spans="1:35" ht="15" customHeight="1" x14ac:dyDescent="0.3">
      <c r="A12" s="58">
        <v>2222</v>
      </c>
      <c r="B12" s="55" t="s">
        <v>21</v>
      </c>
      <c r="C12" s="60">
        <f>U12/T9*C9</f>
        <v>19.257992182514361</v>
      </c>
      <c r="D12" s="60">
        <f>U12/T9*D9</f>
        <v>38.662635006303802</v>
      </c>
      <c r="E12" s="60">
        <f>U12/T9*E9</f>
        <v>21.787184401606304</v>
      </c>
      <c r="F12" s="60">
        <f t="shared" ref="F12:F13" si="0">SUM(C12:E12)</f>
        <v>79.707811590424456</v>
      </c>
      <c r="G12" s="60">
        <f>U12/T9*G9</f>
        <v>216.76665077746821</v>
      </c>
      <c r="H12" s="60">
        <f>U12/T9*H9</f>
        <v>563.73781729107975</v>
      </c>
      <c r="I12" s="60">
        <f>U12/T9*I9</f>
        <v>228.40731110012922</v>
      </c>
      <c r="J12" s="60">
        <f t="shared" ref="J12:J13" si="1">SUM(G12:I12)</f>
        <v>1008.9117791686772</v>
      </c>
      <c r="K12" s="59">
        <f>U12/T9*K9</f>
        <v>5.313429031705761E-2</v>
      </c>
      <c r="L12" s="59">
        <f>U12/T9*L9</f>
        <v>0.1509013845004436</v>
      </c>
      <c r="M12" s="59">
        <f>U12/T9*M9</f>
        <v>0.23804162062041812</v>
      </c>
      <c r="N12" s="59">
        <f t="shared" ref="N12:N13" si="2">SUM(K12:M12)</f>
        <v>0.44207729543791929</v>
      </c>
      <c r="O12" s="59">
        <f>U12/T9*O9</f>
        <v>0.72262634831198347</v>
      </c>
      <c r="P12" s="59">
        <f>U12/T9*P9</f>
        <v>1.6259092837019629</v>
      </c>
      <c r="Q12" s="59">
        <f>U12/T9*Q9</f>
        <v>1.1030678669821161</v>
      </c>
      <c r="R12" s="59">
        <f t="shared" ref="R12:R13" si="3">SUM(O12:Q12)</f>
        <v>3.4516034989960622</v>
      </c>
      <c r="S12" s="88">
        <f>R12+N12+J12+F12</f>
        <v>1092.5132715535356</v>
      </c>
      <c r="T12" s="88"/>
      <c r="U12" s="68">
        <f>8403*0.13</f>
        <v>1092.3900000000001</v>
      </c>
      <c r="Y12" s="70"/>
    </row>
    <row r="13" spans="1:35" ht="15" customHeight="1" x14ac:dyDescent="0.3">
      <c r="A13" s="58">
        <v>2223</v>
      </c>
      <c r="B13" s="55" t="s">
        <v>22</v>
      </c>
      <c r="C13" s="60">
        <f>U13/T9*C9</f>
        <v>38.84600350989151</v>
      </c>
      <c r="D13" s="60">
        <f>U13/T9*D9</f>
        <v>77.987821415785945</v>
      </c>
      <c r="E13" s="60">
        <f>U13/T9*E9</f>
        <v>43.947730049652122</v>
      </c>
      <c r="F13" s="60">
        <f t="shared" si="0"/>
        <v>160.78155497532958</v>
      </c>
      <c r="G13" s="60">
        <f>U13/T9*G9</f>
        <v>437.2479746136006</v>
      </c>
      <c r="H13" s="60">
        <f>U13/T9*H9</f>
        <v>1137.1362612262051</v>
      </c>
      <c r="I13" s="60">
        <f>U13/T9*I9</f>
        <v>460.72877819197788</v>
      </c>
      <c r="J13" s="60">
        <f t="shared" si="1"/>
        <v>2035.1130140317835</v>
      </c>
      <c r="K13" s="59">
        <f>U13/T9*K9</f>
        <v>0.10717912898656747</v>
      </c>
      <c r="L13" s="59">
        <f>U13/T9*L9</f>
        <v>0.3043887263218516</v>
      </c>
      <c r="M13" s="59">
        <f>U13/T9*M9</f>
        <v>0.48016249785982229</v>
      </c>
      <c r="N13" s="59">
        <f t="shared" si="2"/>
        <v>0.89173035316824134</v>
      </c>
      <c r="O13" s="59">
        <f>U13/T9*O9</f>
        <v>1.4576361542173175</v>
      </c>
      <c r="P13" s="59">
        <f>U13/T9*P9</f>
        <v>3.2796813469889647</v>
      </c>
      <c r="Q13" s="59">
        <f>U13/T9*Q9</f>
        <v>2.2250387177611408</v>
      </c>
      <c r="R13" s="59">
        <f t="shared" si="3"/>
        <v>6.9623562189674235</v>
      </c>
      <c r="S13" s="88">
        <f>R13+N13+J13+F13</f>
        <v>2203.7486555792489</v>
      </c>
      <c r="T13" s="88"/>
      <c r="U13" s="68">
        <f>16950*0.13</f>
        <v>2203.5</v>
      </c>
      <c r="Y13" s="70"/>
      <c r="AI13" s="104"/>
    </row>
    <row r="14" spans="1:35" ht="15" customHeight="1" x14ac:dyDescent="0.3">
      <c r="A14" s="56"/>
      <c r="B14" s="61" t="s">
        <v>23</v>
      </c>
      <c r="C14" s="60">
        <f>SUM(C9:C13)</f>
        <v>216.32966963664646</v>
      </c>
      <c r="D14" s="60">
        <f t="shared" ref="D14:R14" si="4">SUM(D9:D13)</f>
        <v>434.30670128685966</v>
      </c>
      <c r="E14" s="60">
        <f t="shared" si="4"/>
        <v>244.74069566772573</v>
      </c>
      <c r="F14" s="60">
        <f t="shared" si="4"/>
        <v>895.37706659123182</v>
      </c>
      <c r="G14" s="60">
        <f t="shared" si="4"/>
        <v>2434.9920545460291</v>
      </c>
      <c r="H14" s="60">
        <f t="shared" si="4"/>
        <v>6332.6028290214526</v>
      </c>
      <c r="I14" s="60">
        <f t="shared" si="4"/>
        <v>2565.7543987243671</v>
      </c>
      <c r="J14" s="60">
        <f t="shared" si="4"/>
        <v>11333.349282291847</v>
      </c>
      <c r="K14" s="59">
        <f t="shared" si="4"/>
        <v>0.59687029477057296</v>
      </c>
      <c r="L14" s="59">
        <f t="shared" si="4"/>
        <v>1.6951116371484272</v>
      </c>
      <c r="M14" s="59">
        <f t="shared" si="4"/>
        <v>2.6739789205721669</v>
      </c>
      <c r="N14" s="59">
        <f t="shared" si="4"/>
        <v>4.9659608524911665</v>
      </c>
      <c r="O14" s="59">
        <f t="shared" si="4"/>
        <v>8.1174360088797908</v>
      </c>
      <c r="P14" s="59">
        <f t="shared" si="4"/>
        <v>18.264231019979533</v>
      </c>
      <c r="Q14" s="59">
        <f t="shared" si="4"/>
        <v>12.391027319437095</v>
      </c>
      <c r="R14" s="59">
        <f t="shared" si="4"/>
        <v>38.772694348296419</v>
      </c>
      <c r="S14" s="88">
        <f>R14+N14+J14+F14</f>
        <v>12272.465004083868</v>
      </c>
      <c r="T14" s="88"/>
      <c r="U14" s="101">
        <f>SUM(U10:U13)</f>
        <v>7131.3202650000003</v>
      </c>
      <c r="Y14" s="70"/>
    </row>
    <row r="15" spans="1:35" ht="15" customHeight="1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  <c r="O15" s="59"/>
      <c r="P15" s="59"/>
      <c r="Q15" s="59"/>
      <c r="R15" s="59"/>
      <c r="S15" s="88"/>
      <c r="T15" s="88"/>
      <c r="U15" s="68"/>
      <c r="Y15" s="70"/>
    </row>
    <row r="16" spans="1:35" ht="15" customHeight="1" x14ac:dyDescent="0.3">
      <c r="A16" s="58">
        <v>1100</v>
      </c>
      <c r="B16" s="55" t="s">
        <v>25</v>
      </c>
      <c r="C16" s="60">
        <f>U16/T9*C9</f>
        <v>17.010794511805997</v>
      </c>
      <c r="D16" s="60">
        <f>U16/T9*D9</f>
        <v>34.151127134340896</v>
      </c>
      <c r="E16" s="60">
        <f>U16/T9*E9</f>
        <v>19.244857580898717</v>
      </c>
      <c r="F16" s="60">
        <f>SUM(C16:E16)</f>
        <v>70.406779227045604</v>
      </c>
      <c r="G16" s="60">
        <f t="shared" ref="G16:R25" si="5">$U16/$T$9*G$9</f>
        <v>191.47234656871134</v>
      </c>
      <c r="H16" s="60">
        <f t="shared" si="5"/>
        <v>497.95576182545483</v>
      </c>
      <c r="I16" s="60">
        <f t="shared" si="5"/>
        <v>201.75466877830871</v>
      </c>
      <c r="J16" s="60">
        <f t="shared" si="5"/>
        <v>891.18277717247486</v>
      </c>
      <c r="K16" s="60">
        <f t="shared" si="5"/>
        <v>4.6934098090183195E-2</v>
      </c>
      <c r="L16" s="60">
        <f t="shared" si="5"/>
        <v>0.13329283857612026</v>
      </c>
      <c r="M16" s="60">
        <f t="shared" si="5"/>
        <v>0.21026475944402073</v>
      </c>
      <c r="N16" s="60">
        <f t="shared" si="5"/>
        <v>0.39049169611032419</v>
      </c>
      <c r="O16" s="60">
        <f t="shared" si="5"/>
        <v>0.63830373402649143</v>
      </c>
      <c r="P16" s="60">
        <f t="shared" si="5"/>
        <v>1.4361834015596058</v>
      </c>
      <c r="Q16" s="60">
        <f t="shared" si="5"/>
        <v>0.97435187635220322</v>
      </c>
      <c r="R16" s="60">
        <f t="shared" si="5"/>
        <v>3.0488390119383006</v>
      </c>
      <c r="S16" s="88"/>
      <c r="T16" s="88"/>
      <c r="U16" s="68">
        <v>964.92</v>
      </c>
      <c r="Y16" s="70"/>
    </row>
    <row r="17" spans="1:25" ht="15" customHeight="1" x14ac:dyDescent="0.3">
      <c r="A17" s="58">
        <v>1200</v>
      </c>
      <c r="B17" s="55" t="s">
        <v>26</v>
      </c>
      <c r="C17" s="60">
        <f>U17/T9*C9</f>
        <v>4.0128464253350353</v>
      </c>
      <c r="D17" s="60">
        <f>U17/T9*D9</f>
        <v>8.0562508909910182</v>
      </c>
      <c r="E17" s="60">
        <f>U17/T9*E9</f>
        <v>4.5398619033340077</v>
      </c>
      <c r="F17" s="60">
        <f t="shared" ref="F17:F34" si="6">SUM(C17:E17)</f>
        <v>16.608959219660061</v>
      </c>
      <c r="G17" s="60">
        <f t="shared" si="5"/>
        <v>45.168326555559013</v>
      </c>
      <c r="H17" s="60">
        <f t="shared" si="5"/>
        <v>117.46776421462481</v>
      </c>
      <c r="I17" s="60">
        <f t="shared" si="5"/>
        <v>47.593926364803025</v>
      </c>
      <c r="J17" s="60">
        <f t="shared" si="5"/>
        <v>210.23001713498684</v>
      </c>
      <c r="K17" s="60">
        <f t="shared" si="5"/>
        <v>1.1071753739474216E-2</v>
      </c>
      <c r="L17" s="60">
        <f t="shared" si="5"/>
        <v>3.1443780620106776E-2</v>
      </c>
      <c r="M17" s="60">
        <f t="shared" si="5"/>
        <v>4.9601456752844497E-2</v>
      </c>
      <c r="N17" s="60">
        <f t="shared" si="5"/>
        <v>9.2116991112425481E-2</v>
      </c>
      <c r="O17" s="60">
        <f t="shared" si="5"/>
        <v>0.15057585085684935</v>
      </c>
      <c r="P17" s="60">
        <f t="shared" si="5"/>
        <v>0.33879566442791104</v>
      </c>
      <c r="Q17" s="60">
        <f t="shared" si="5"/>
        <v>0.22984960763148474</v>
      </c>
      <c r="R17" s="60">
        <f t="shared" si="5"/>
        <v>0.71922112291624518</v>
      </c>
      <c r="S17" s="88"/>
      <c r="T17" s="88"/>
      <c r="U17" s="68">
        <f>U16*0.2359</f>
        <v>227.624628</v>
      </c>
      <c r="Y17" s="70"/>
    </row>
    <row r="18" spans="1:25" ht="15" customHeight="1" x14ac:dyDescent="0.3">
      <c r="A18" s="58">
        <v>2210</v>
      </c>
      <c r="B18" s="55" t="s">
        <v>27</v>
      </c>
      <c r="C18" s="60">
        <f>U18/T9*C9</f>
        <v>0.2274170389278877</v>
      </c>
      <c r="D18" s="60">
        <f>U18/T9*D9</f>
        <v>0.45656587077995858</v>
      </c>
      <c r="E18" s="60">
        <f>U18/T9*E9</f>
        <v>0.25728419225800431</v>
      </c>
      <c r="F18" s="60">
        <f t="shared" si="6"/>
        <v>0.94126710196585051</v>
      </c>
      <c r="G18" s="60">
        <f t="shared" si="5"/>
        <v>2.5597907295282272</v>
      </c>
      <c r="H18" s="60">
        <f t="shared" si="5"/>
        <v>6.6571625912493975</v>
      </c>
      <c r="I18" s="60">
        <f t="shared" si="5"/>
        <v>2.6972549301912934</v>
      </c>
      <c r="J18" s="60">
        <f t="shared" si="5"/>
        <v>11.914208250968917</v>
      </c>
      <c r="K18" s="60">
        <f t="shared" si="5"/>
        <v>6.2746120441421391E-4</v>
      </c>
      <c r="L18" s="60">
        <f t="shared" si="5"/>
        <v>1.7819898205363675E-3</v>
      </c>
      <c r="M18" s="60">
        <f t="shared" si="5"/>
        <v>2.8110261957756785E-3</v>
      </c>
      <c r="N18" s="60">
        <f t="shared" si="5"/>
        <v>5.2204772207262596E-3</v>
      </c>
      <c r="O18" s="60">
        <f t="shared" si="5"/>
        <v>8.5334723800333089E-3</v>
      </c>
      <c r="P18" s="60">
        <f t="shared" si="5"/>
        <v>1.9200312855074946E-2</v>
      </c>
      <c r="Q18" s="60">
        <f t="shared" si="5"/>
        <v>1.3026094603639082E-2</v>
      </c>
      <c r="R18" s="60">
        <f t="shared" si="5"/>
        <v>4.0759879838747341E-2</v>
      </c>
      <c r="S18" s="88"/>
      <c r="T18" s="88"/>
      <c r="U18" s="51">
        <v>12.9</v>
      </c>
      <c r="V18" s="51" t="s">
        <v>108</v>
      </c>
      <c r="Y18" s="70"/>
    </row>
    <row r="19" spans="1:25" ht="15" customHeight="1" x14ac:dyDescent="0.3">
      <c r="A19" s="58">
        <v>2221</v>
      </c>
      <c r="B19" s="55" t="s">
        <v>28</v>
      </c>
      <c r="C19" s="60">
        <f>U19/T9*C9</f>
        <v>1.960546426292278</v>
      </c>
      <c r="D19" s="60">
        <f>U19/T9*D9</f>
        <v>3.9360225185611775</v>
      </c>
      <c r="E19" s="60">
        <f>U19/T9*E9</f>
        <v>2.2180290713963298</v>
      </c>
      <c r="F19" s="60">
        <f t="shared" si="6"/>
        <v>8.1145980162497846</v>
      </c>
      <c r="G19" s="60">
        <f t="shared" si="5"/>
        <v>22.067777289211946</v>
      </c>
      <c r="H19" s="60">
        <f t="shared" si="5"/>
        <v>57.390934245957006</v>
      </c>
      <c r="I19" s="60">
        <f t="shared" si="5"/>
        <v>23.252846572602611</v>
      </c>
      <c r="J19" s="60">
        <f t="shared" si="5"/>
        <v>102.71155810777155</v>
      </c>
      <c r="K19" s="60">
        <f t="shared" si="5"/>
        <v>5.4092992668918387E-3</v>
      </c>
      <c r="L19" s="60">
        <f t="shared" si="5"/>
        <v>1.5362409917972822E-2</v>
      </c>
      <c r="M19" s="60">
        <f t="shared" si="5"/>
        <v>2.423366071567544E-2</v>
      </c>
      <c r="N19" s="60">
        <f t="shared" si="5"/>
        <v>4.5005369900540097E-2</v>
      </c>
      <c r="O19" s="60">
        <f t="shared" si="5"/>
        <v>7.3566470029729006E-2</v>
      </c>
      <c r="P19" s="60">
        <f t="shared" si="5"/>
        <v>0.16552455756689027</v>
      </c>
      <c r="Q19" s="60">
        <f t="shared" si="5"/>
        <v>0.11229705278067457</v>
      </c>
      <c r="R19" s="60">
        <f t="shared" si="5"/>
        <v>0.35138808037729391</v>
      </c>
      <c r="S19" s="88"/>
      <c r="T19" s="88"/>
      <c r="U19" s="51">
        <v>111.21</v>
      </c>
      <c r="V19" s="51" t="s">
        <v>89</v>
      </c>
      <c r="Y19" s="70"/>
    </row>
    <row r="20" spans="1:25" ht="15" customHeight="1" x14ac:dyDescent="0.3">
      <c r="A20" s="58">
        <v>2224</v>
      </c>
      <c r="B20" s="55" t="s">
        <v>29</v>
      </c>
      <c r="C20" s="60">
        <f>U20/T9*C9</f>
        <v>0.58881620931716649</v>
      </c>
      <c r="D20" s="60">
        <f>U20/T9*D9</f>
        <v>1.1821162855853191</v>
      </c>
      <c r="E20" s="60">
        <f>U20/T9*E9</f>
        <v>0.66614666832692571</v>
      </c>
      <c r="F20" s="60">
        <f t="shared" si="6"/>
        <v>2.4370791632294111</v>
      </c>
      <c r="G20" s="60">
        <f t="shared" si="5"/>
        <v>6.627675222189362</v>
      </c>
      <c r="H20" s="60">
        <f t="shared" si="5"/>
        <v>17.236374461064329</v>
      </c>
      <c r="I20" s="60">
        <f t="shared" si="5"/>
        <v>6.9835902843712541</v>
      </c>
      <c r="J20" s="60">
        <f t="shared" si="5"/>
        <v>30.847639967624943</v>
      </c>
      <c r="K20" s="60">
        <f t="shared" si="5"/>
        <v>1.6245894749949412E-3</v>
      </c>
      <c r="L20" s="60">
        <f t="shared" si="5"/>
        <v>4.6138341089856328E-3</v>
      </c>
      <c r="M20" s="60">
        <f t="shared" si="5"/>
        <v>7.2781608479773373E-3</v>
      </c>
      <c r="N20" s="60">
        <f t="shared" si="5"/>
        <v>1.3516584431957912E-2</v>
      </c>
      <c r="O20" s="60">
        <f t="shared" si="5"/>
        <v>2.2094416859931201E-2</v>
      </c>
      <c r="P20" s="60">
        <f t="shared" si="5"/>
        <v>4.9712437934845206E-2</v>
      </c>
      <c r="Q20" s="60">
        <f t="shared" si="5"/>
        <v>3.3726477500894983E-2</v>
      </c>
      <c r="R20" s="60">
        <f t="shared" si="5"/>
        <v>0.1055333322956714</v>
      </c>
      <c r="S20" s="88"/>
      <c r="T20" s="88"/>
      <c r="U20" s="51">
        <v>33.4</v>
      </c>
      <c r="V20" s="51" t="s">
        <v>90</v>
      </c>
      <c r="Y20" s="70"/>
    </row>
    <row r="21" spans="1:25" ht="15" customHeight="1" x14ac:dyDescent="0.3">
      <c r="A21" s="58">
        <v>2234</v>
      </c>
      <c r="B21" s="55" t="s">
        <v>30</v>
      </c>
      <c r="C21" s="60">
        <f>U21/T9*C9</f>
        <v>2.1155073388640715</v>
      </c>
      <c r="D21" s="60">
        <f>U21/T9*D9</f>
        <v>4.2471243793484517</v>
      </c>
      <c r="E21" s="60">
        <f>U21/T9*E9</f>
        <v>2.3933413233302723</v>
      </c>
      <c r="F21" s="60">
        <f t="shared" si="6"/>
        <v>8.755973041542795</v>
      </c>
      <c r="G21" s="60">
        <f t="shared" si="5"/>
        <v>23.812006786309087</v>
      </c>
      <c r="H21" s="60">
        <f t="shared" si="5"/>
        <v>61.927093872087411</v>
      </c>
      <c r="I21" s="60">
        <f t="shared" si="5"/>
        <v>25.090743536663194</v>
      </c>
      <c r="J21" s="60">
        <f t="shared" si="5"/>
        <v>110.82984419505969</v>
      </c>
      <c r="K21" s="60">
        <f t="shared" si="5"/>
        <v>5.8368484131554781E-3</v>
      </c>
      <c r="L21" s="60">
        <f t="shared" si="5"/>
        <v>1.6576649493361555E-2</v>
      </c>
      <c r="M21" s="60">
        <f t="shared" si="5"/>
        <v>2.6149080890936545E-2</v>
      </c>
      <c r="N21" s="60">
        <f t="shared" si="5"/>
        <v>4.8562578797453577E-2</v>
      </c>
      <c r="O21" s="60">
        <f t="shared" si="5"/>
        <v>7.9381138418914504E-2</v>
      </c>
      <c r="P21" s="60">
        <f t="shared" si="5"/>
        <v>0.17860756144255763</v>
      </c>
      <c r="Q21" s="60">
        <f t="shared" si="5"/>
        <v>0.12117297305710774</v>
      </c>
      <c r="R21" s="60">
        <f t="shared" si="5"/>
        <v>0.37916167291857988</v>
      </c>
      <c r="S21" s="88"/>
      <c r="T21" s="88"/>
      <c r="U21" s="51">
        <f>4*30</f>
        <v>120</v>
      </c>
      <c r="V21" s="51" t="s">
        <v>91</v>
      </c>
      <c r="Y21" s="70"/>
    </row>
    <row r="22" spans="1:25" ht="15" customHeight="1" x14ac:dyDescent="0.3">
      <c r="A22" s="58">
        <v>2235</v>
      </c>
      <c r="B22" s="55" t="s">
        <v>31</v>
      </c>
      <c r="C22" s="60">
        <f>U22/T9*C9</f>
        <v>1.4103382259093811</v>
      </c>
      <c r="D22" s="60">
        <f>U22/T9*D9</f>
        <v>2.8314162528989679</v>
      </c>
      <c r="E22" s="60">
        <f>U22/T9*E9</f>
        <v>1.5955608822201817</v>
      </c>
      <c r="F22" s="60">
        <f t="shared" si="6"/>
        <v>5.83731536102853</v>
      </c>
      <c r="G22" s="60">
        <f t="shared" si="5"/>
        <v>15.874671190872725</v>
      </c>
      <c r="H22" s="60">
        <f t="shared" si="5"/>
        <v>41.284729248058277</v>
      </c>
      <c r="I22" s="60">
        <f t="shared" si="5"/>
        <v>16.727162357775462</v>
      </c>
      <c r="J22" s="60">
        <f t="shared" si="5"/>
        <v>73.886562796706457</v>
      </c>
      <c r="K22" s="60">
        <f t="shared" si="5"/>
        <v>3.8912322754369854E-3</v>
      </c>
      <c r="L22" s="60">
        <f t="shared" si="5"/>
        <v>1.1051099662241038E-2</v>
      </c>
      <c r="M22" s="60">
        <f t="shared" si="5"/>
        <v>1.7432720593957698E-2</v>
      </c>
      <c r="N22" s="60">
        <f t="shared" si="5"/>
        <v>3.2375052531635723E-2</v>
      </c>
      <c r="O22" s="60">
        <f t="shared" si="5"/>
        <v>5.2920758945943003E-2</v>
      </c>
      <c r="P22" s="60">
        <f t="shared" si="5"/>
        <v>0.11907170762837176</v>
      </c>
      <c r="Q22" s="60">
        <f t="shared" si="5"/>
        <v>8.0781982038071826E-2</v>
      </c>
      <c r="R22" s="60">
        <f t="shared" si="5"/>
        <v>0.25277444861238663</v>
      </c>
      <c r="S22" s="88"/>
      <c r="T22" s="88"/>
      <c r="U22" s="51">
        <f>4*20</f>
        <v>80</v>
      </c>
      <c r="V22" s="51" t="s">
        <v>92</v>
      </c>
      <c r="Y22" s="70"/>
    </row>
    <row r="23" spans="1:25" ht="15" customHeight="1" x14ac:dyDescent="0.3">
      <c r="A23" s="58">
        <v>2243</v>
      </c>
      <c r="B23" s="55" t="s">
        <v>32</v>
      </c>
      <c r="C23" s="60">
        <f>U23/T9*C9</f>
        <v>13.768426930440331</v>
      </c>
      <c r="D23" s="60">
        <f>U23/T9*D9</f>
        <v>27.641701168926176</v>
      </c>
      <c r="E23" s="60">
        <f>U23/T9*E9</f>
        <v>15.576663112674522</v>
      </c>
      <c r="F23" s="60">
        <f t="shared" si="6"/>
        <v>56.986791212041027</v>
      </c>
      <c r="G23" s="60">
        <f t="shared" si="5"/>
        <v>154.97647750089499</v>
      </c>
      <c r="H23" s="60">
        <f t="shared" si="5"/>
        <v>403.04216928416889</v>
      </c>
      <c r="I23" s="60">
        <f t="shared" si="5"/>
        <v>163.29892251778293</v>
      </c>
      <c r="J23" s="60">
        <f t="shared" si="5"/>
        <v>721.31756930284678</v>
      </c>
      <c r="K23" s="60">
        <f t="shared" si="5"/>
        <v>3.7988155088953569E-2</v>
      </c>
      <c r="L23" s="60">
        <f t="shared" si="5"/>
        <v>0.10788636045262813</v>
      </c>
      <c r="M23" s="60">
        <f t="shared" si="5"/>
        <v>0.17018693479851202</v>
      </c>
      <c r="N23" s="60">
        <f t="shared" si="5"/>
        <v>0.3160614503400937</v>
      </c>
      <c r="O23" s="60">
        <f t="shared" si="5"/>
        <v>0.51663890920976852</v>
      </c>
      <c r="P23" s="60">
        <f t="shared" si="5"/>
        <v>1.1624375457219793</v>
      </c>
      <c r="Q23" s="60">
        <f t="shared" si="5"/>
        <v>0.78863409964667619</v>
      </c>
      <c r="R23" s="60">
        <f t="shared" si="5"/>
        <v>2.4677105545784244</v>
      </c>
      <c r="S23" s="88"/>
      <c r="T23" s="88"/>
      <c r="U23" s="51">
        <v>781</v>
      </c>
      <c r="V23" s="51" t="s">
        <v>93</v>
      </c>
      <c r="Y23" s="70"/>
    </row>
    <row r="24" spans="1:25" ht="15" customHeight="1" x14ac:dyDescent="0.3">
      <c r="A24" s="58">
        <v>2244</v>
      </c>
      <c r="B24" s="55" t="s">
        <v>33</v>
      </c>
      <c r="C24" s="60">
        <f>U24/T9*C9</f>
        <v>0.35276084875558394</v>
      </c>
      <c r="D24" s="60">
        <f>U24/T9*D9</f>
        <v>0.70820799025635439</v>
      </c>
      <c r="E24" s="60">
        <f>U24/T9*E9</f>
        <v>0.39908966566532295</v>
      </c>
      <c r="F24" s="60">
        <f t="shared" si="6"/>
        <v>1.4600585046772612</v>
      </c>
      <c r="G24" s="60">
        <f t="shared" si="5"/>
        <v>3.9706521316170407</v>
      </c>
      <c r="H24" s="60">
        <f t="shared" si="5"/>
        <v>10.326342903170577</v>
      </c>
      <c r="I24" s="60">
        <f t="shared" si="5"/>
        <v>4.1838814847385875</v>
      </c>
      <c r="J24" s="60">
        <f t="shared" si="5"/>
        <v>18.480876519526205</v>
      </c>
      <c r="K24" s="60">
        <f t="shared" si="5"/>
        <v>9.7329447289367602E-4</v>
      </c>
      <c r="L24" s="60">
        <f t="shared" si="5"/>
        <v>2.7641563030180397E-3</v>
      </c>
      <c r="M24" s="60">
        <f t="shared" si="5"/>
        <v>4.3603592385636691E-3</v>
      </c>
      <c r="N24" s="60">
        <f t="shared" si="5"/>
        <v>8.0978100144753849E-3</v>
      </c>
      <c r="O24" s="60">
        <f t="shared" si="5"/>
        <v>1.3236804831353994E-2</v>
      </c>
      <c r="P24" s="60">
        <f t="shared" si="5"/>
        <v>2.9782810870546489E-2</v>
      </c>
      <c r="Q24" s="60">
        <f t="shared" si="5"/>
        <v>2.0205593257272714E-2</v>
      </c>
      <c r="R24" s="60">
        <f t="shared" si="5"/>
        <v>6.3225208959173204E-2</v>
      </c>
      <c r="S24" s="88"/>
      <c r="T24" s="88"/>
      <c r="U24" s="51">
        <v>20.010000000000002</v>
      </c>
      <c r="V24" s="51" t="s">
        <v>94</v>
      </c>
      <c r="Y24" s="70"/>
    </row>
    <row r="25" spans="1:25" ht="15" customHeight="1" x14ac:dyDescent="0.3">
      <c r="A25" s="58">
        <v>2247</v>
      </c>
      <c r="B25" s="55" t="s">
        <v>34</v>
      </c>
      <c r="C25" s="60">
        <f>U25/T9*C9</f>
        <v>8.81461391193363E-3</v>
      </c>
      <c r="D25" s="60">
        <f>U25/T9*D9</f>
        <v>1.7696351580618549E-2</v>
      </c>
      <c r="E25" s="60">
        <f>U25/T9*E9</f>
        <v>9.9722555138761337E-3</v>
      </c>
      <c r="F25" s="60">
        <f t="shared" si="6"/>
        <v>3.6483221006428312E-2</v>
      </c>
      <c r="G25" s="60">
        <f t="shared" si="5"/>
        <v>9.9216694942954528E-2</v>
      </c>
      <c r="H25" s="60">
        <f t="shared" si="5"/>
        <v>0.25802955780036424</v>
      </c>
      <c r="I25" s="60">
        <f t="shared" si="5"/>
        <v>0.10454476473609663</v>
      </c>
      <c r="J25" s="60">
        <f t="shared" si="5"/>
        <v>0.46179101747941531</v>
      </c>
      <c r="K25" s="60">
        <f t="shared" si="5"/>
        <v>2.4320201721481157E-5</v>
      </c>
      <c r="L25" s="60">
        <f t="shared" si="5"/>
        <v>6.9069372889006482E-5</v>
      </c>
      <c r="M25" s="60">
        <f t="shared" si="5"/>
        <v>1.0895450371223559E-4</v>
      </c>
      <c r="N25" s="60">
        <f t="shared" si="5"/>
        <v>2.0234407832272323E-4</v>
      </c>
      <c r="O25" s="60">
        <f t="shared" si="5"/>
        <v>3.3075474341214375E-4</v>
      </c>
      <c r="P25" s="60">
        <f t="shared" si="5"/>
        <v>7.4419817267732345E-4</v>
      </c>
      <c r="Q25" s="60">
        <f t="shared" si="5"/>
        <v>5.0488738773794882E-4</v>
      </c>
      <c r="R25" s="60">
        <f t="shared" si="5"/>
        <v>1.5798403038274162E-3</v>
      </c>
      <c r="S25" s="88"/>
      <c r="T25" s="88"/>
      <c r="U25" s="51">
        <v>0.5</v>
      </c>
      <c r="V25" s="51" t="s">
        <v>95</v>
      </c>
      <c r="Y25" s="70"/>
    </row>
    <row r="26" spans="1:25" ht="15" customHeight="1" x14ac:dyDescent="0.3">
      <c r="A26" s="58">
        <v>2251</v>
      </c>
      <c r="B26" s="55" t="s">
        <v>35</v>
      </c>
      <c r="C26" s="60">
        <v>0</v>
      </c>
      <c r="D26" s="60">
        <f>0</f>
        <v>0</v>
      </c>
      <c r="E26" s="60">
        <v>0</v>
      </c>
      <c r="F26" s="60">
        <f t="shared" si="6"/>
        <v>0</v>
      </c>
      <c r="G26" s="60">
        <f t="shared" ref="G26:R34" si="7">$U26/$T$9*G$9</f>
        <v>0</v>
      </c>
      <c r="H26" s="60">
        <f t="shared" si="7"/>
        <v>0</v>
      </c>
      <c r="I26" s="60">
        <f t="shared" si="7"/>
        <v>0</v>
      </c>
      <c r="J26" s="60">
        <f t="shared" si="7"/>
        <v>0</v>
      </c>
      <c r="K26" s="60">
        <f t="shared" si="7"/>
        <v>0</v>
      </c>
      <c r="L26" s="60">
        <f t="shared" si="7"/>
        <v>0</v>
      </c>
      <c r="M26" s="60">
        <f t="shared" si="7"/>
        <v>0</v>
      </c>
      <c r="N26" s="60">
        <f t="shared" si="7"/>
        <v>0</v>
      </c>
      <c r="O26" s="60">
        <f t="shared" si="7"/>
        <v>0</v>
      </c>
      <c r="P26" s="60">
        <f t="shared" si="7"/>
        <v>0</v>
      </c>
      <c r="Q26" s="60">
        <f t="shared" si="7"/>
        <v>0</v>
      </c>
      <c r="R26" s="60">
        <f t="shared" si="7"/>
        <v>0</v>
      </c>
      <c r="S26" s="88"/>
      <c r="T26" s="88"/>
      <c r="U26" s="51">
        <v>0</v>
      </c>
      <c r="V26" s="51" t="s">
        <v>96</v>
      </c>
      <c r="Y26" s="70"/>
    </row>
    <row r="27" spans="1:25" ht="15" customHeight="1" x14ac:dyDescent="0.3">
      <c r="A27" s="58">
        <v>2311</v>
      </c>
      <c r="B27" s="55" t="s">
        <v>36</v>
      </c>
      <c r="C27" s="60">
        <f>U27/T9*C9</f>
        <v>0.11388481174218251</v>
      </c>
      <c r="D27" s="60">
        <f>U27/T9*D9</f>
        <v>0.22863686242159167</v>
      </c>
      <c r="E27" s="60">
        <f>U27/T9*E9</f>
        <v>0.12884154123927966</v>
      </c>
      <c r="F27" s="60">
        <f t="shared" si="6"/>
        <v>0.47136321540305387</v>
      </c>
      <c r="G27" s="60">
        <f t="shared" si="7"/>
        <v>1.2818796986629726</v>
      </c>
      <c r="H27" s="60">
        <f t="shared" si="7"/>
        <v>3.333741886780706</v>
      </c>
      <c r="I27" s="60">
        <f t="shared" si="7"/>
        <v>1.3507183603903685</v>
      </c>
      <c r="J27" s="60">
        <f t="shared" si="7"/>
        <v>5.9663399458340463</v>
      </c>
      <c r="K27" s="60">
        <f t="shared" si="7"/>
        <v>3.1421700624153657E-4</v>
      </c>
      <c r="L27" s="60">
        <f t="shared" si="7"/>
        <v>8.9237629772596385E-4</v>
      </c>
      <c r="M27" s="60">
        <f t="shared" si="7"/>
        <v>1.4076921879620839E-3</v>
      </c>
      <c r="N27" s="60">
        <f t="shared" si="7"/>
        <v>2.6142854919295844E-3</v>
      </c>
      <c r="O27" s="60">
        <f t="shared" si="7"/>
        <v>4.2733512848848977E-3</v>
      </c>
      <c r="P27" s="60">
        <f t="shared" si="7"/>
        <v>9.6150403909910191E-3</v>
      </c>
      <c r="Q27" s="60">
        <f t="shared" si="7"/>
        <v>6.5231450495742997E-3</v>
      </c>
      <c r="R27" s="60">
        <f t="shared" si="7"/>
        <v>2.0411536725450218E-2</v>
      </c>
      <c r="S27" s="88"/>
      <c r="T27" s="88"/>
      <c r="U27" s="51">
        <v>6.46</v>
      </c>
      <c r="V27" s="51" t="s">
        <v>97</v>
      </c>
      <c r="Y27" s="70"/>
    </row>
    <row r="28" spans="1:25" ht="15" customHeight="1" x14ac:dyDescent="0.3">
      <c r="A28" s="58">
        <v>2312</v>
      </c>
      <c r="B28" s="55" t="s">
        <v>37</v>
      </c>
      <c r="C28" s="60">
        <f>U28/T9*C9</f>
        <v>0.32614071474154438</v>
      </c>
      <c r="D28" s="60">
        <f>U28/T9*D9</f>
        <v>0.65476500848288632</v>
      </c>
      <c r="E28" s="60">
        <f>U28/T9*E9</f>
        <v>0.36897345401341697</v>
      </c>
      <c r="F28" s="60">
        <f t="shared" si="6"/>
        <v>1.3498791772378476</v>
      </c>
      <c r="G28" s="60">
        <f t="shared" si="7"/>
        <v>3.6710177128893178</v>
      </c>
      <c r="H28" s="60">
        <f t="shared" si="7"/>
        <v>9.547093638613477</v>
      </c>
      <c r="I28" s="60">
        <f t="shared" si="7"/>
        <v>3.8681562952355755</v>
      </c>
      <c r="J28" s="60">
        <f t="shared" si="7"/>
        <v>17.086267646738367</v>
      </c>
      <c r="K28" s="60">
        <f t="shared" si="7"/>
        <v>8.9984746369480288E-4</v>
      </c>
      <c r="L28" s="60">
        <f t="shared" si="7"/>
        <v>2.5555667968932402E-3</v>
      </c>
      <c r="M28" s="60">
        <f t="shared" si="7"/>
        <v>4.0313166373527175E-3</v>
      </c>
      <c r="N28" s="60">
        <f t="shared" si="7"/>
        <v>7.4867308979407604E-3</v>
      </c>
      <c r="O28" s="60">
        <f t="shared" si="7"/>
        <v>1.2237925506249319E-2</v>
      </c>
      <c r="P28" s="60">
        <f t="shared" si="7"/>
        <v>2.753533238906097E-2</v>
      </c>
      <c r="Q28" s="60">
        <f t="shared" si="7"/>
        <v>1.8680833346304108E-2</v>
      </c>
      <c r="R28" s="60">
        <f t="shared" si="7"/>
        <v>5.8454091241614402E-2</v>
      </c>
      <c r="S28" s="88"/>
      <c r="T28" s="88"/>
      <c r="U28" s="51">
        <v>18.5</v>
      </c>
      <c r="V28" s="51" t="s">
        <v>98</v>
      </c>
      <c r="Y28" s="70"/>
    </row>
    <row r="29" spans="1:25" ht="15" customHeight="1" x14ac:dyDescent="0.3">
      <c r="A29" s="58">
        <v>2321</v>
      </c>
      <c r="B29" s="55" t="s">
        <v>38</v>
      </c>
      <c r="C29" s="60">
        <v>0</v>
      </c>
      <c r="D29" s="60">
        <v>0</v>
      </c>
      <c r="E29" s="60">
        <v>0</v>
      </c>
      <c r="F29" s="60">
        <f t="shared" si="6"/>
        <v>0</v>
      </c>
      <c r="G29" s="60">
        <f t="shared" si="7"/>
        <v>0</v>
      </c>
      <c r="H29" s="60">
        <f t="shared" si="7"/>
        <v>0</v>
      </c>
      <c r="I29" s="60">
        <f t="shared" si="7"/>
        <v>0</v>
      </c>
      <c r="J29" s="60">
        <f t="shared" si="7"/>
        <v>0</v>
      </c>
      <c r="K29" s="60">
        <f t="shared" si="7"/>
        <v>0</v>
      </c>
      <c r="L29" s="60">
        <f t="shared" si="7"/>
        <v>0</v>
      </c>
      <c r="M29" s="60">
        <f t="shared" si="7"/>
        <v>0</v>
      </c>
      <c r="N29" s="60">
        <f t="shared" si="7"/>
        <v>0</v>
      </c>
      <c r="O29" s="60">
        <f t="shared" si="7"/>
        <v>0</v>
      </c>
      <c r="P29" s="60">
        <f t="shared" si="7"/>
        <v>0</v>
      </c>
      <c r="Q29" s="60">
        <f t="shared" si="7"/>
        <v>0</v>
      </c>
      <c r="R29" s="60">
        <f t="shared" si="7"/>
        <v>0</v>
      </c>
      <c r="S29" s="88"/>
      <c r="T29" s="88"/>
      <c r="U29" s="51">
        <v>0</v>
      </c>
      <c r="V29" s="51" t="s">
        <v>99</v>
      </c>
      <c r="Y29" s="70"/>
    </row>
    <row r="30" spans="1:25" ht="15" customHeight="1" x14ac:dyDescent="0.3">
      <c r="A30" s="58" t="s">
        <v>104</v>
      </c>
      <c r="B30" s="55" t="s">
        <v>39</v>
      </c>
      <c r="C30" s="60">
        <f>U30/T9*C9</f>
        <v>3.173261008296107E-3</v>
      </c>
      <c r="D30" s="60">
        <f>U30/T9*D9</f>
        <v>6.3706865690226775E-3</v>
      </c>
      <c r="E30" s="60">
        <f>U30/T9*E9</f>
        <v>3.5900119849954083E-3</v>
      </c>
      <c r="F30" s="60">
        <f t="shared" si="6"/>
        <v>1.3133959562314192E-2</v>
      </c>
      <c r="G30" s="60">
        <f t="shared" si="7"/>
        <v>3.5718010179463633E-2</v>
      </c>
      <c r="H30" s="60">
        <f t="shared" si="7"/>
        <v>9.2890640808131114E-2</v>
      </c>
      <c r="I30" s="60">
        <f t="shared" si="7"/>
        <v>3.7636115304994784E-2</v>
      </c>
      <c r="J30" s="60">
        <f t="shared" si="7"/>
        <v>0.16624476629258952</v>
      </c>
      <c r="K30" s="60">
        <f t="shared" si="7"/>
        <v>8.7552726197332169E-6</v>
      </c>
      <c r="L30" s="60">
        <f t="shared" si="7"/>
        <v>2.4864974240042336E-5</v>
      </c>
      <c r="M30" s="60">
        <f t="shared" si="7"/>
        <v>3.9223621336404813E-5</v>
      </c>
      <c r="N30" s="60">
        <f t="shared" si="7"/>
        <v>7.284386819618036E-5</v>
      </c>
      <c r="O30" s="60">
        <f t="shared" si="7"/>
        <v>1.1907170762837175E-4</v>
      </c>
      <c r="P30" s="60">
        <f t="shared" si="7"/>
        <v>2.6791134216383645E-4</v>
      </c>
      <c r="Q30" s="60">
        <f t="shared" si="7"/>
        <v>1.8175945958566161E-4</v>
      </c>
      <c r="R30" s="60">
        <f t="shared" si="7"/>
        <v>5.6874250937786986E-4</v>
      </c>
      <c r="S30" s="88"/>
      <c r="T30" s="88"/>
      <c r="U30" s="51">
        <v>0.18</v>
      </c>
      <c r="V30" s="51" t="s">
        <v>100</v>
      </c>
      <c r="Y30" s="70"/>
    </row>
    <row r="31" spans="1:25" ht="15" customHeight="1" x14ac:dyDescent="0.3">
      <c r="A31" s="58" t="s">
        <v>102</v>
      </c>
      <c r="B31" s="55" t="s">
        <v>40</v>
      </c>
      <c r="C31" s="60">
        <f>U31/T9*C9</f>
        <v>0.51424457562220804</v>
      </c>
      <c r="D31" s="60">
        <f>U31/T9*D9</f>
        <v>1.0324051512132861</v>
      </c>
      <c r="E31" s="60">
        <f>U31/T9*E9</f>
        <v>0.58178138667953372</v>
      </c>
      <c r="F31" s="60">
        <f t="shared" si="6"/>
        <v>2.128431113515028</v>
      </c>
      <c r="G31" s="60">
        <f t="shared" si="7"/>
        <v>5.7883019829719675</v>
      </c>
      <c r="H31" s="60">
        <f t="shared" si="7"/>
        <v>15.053444402073248</v>
      </c>
      <c r="I31" s="60">
        <f t="shared" si="7"/>
        <v>6.0991415747038777</v>
      </c>
      <c r="J31" s="60">
        <f t="shared" si="7"/>
        <v>26.940887959749091</v>
      </c>
      <c r="K31" s="60">
        <f t="shared" si="7"/>
        <v>1.4188405684312107E-3</v>
      </c>
      <c r="L31" s="60">
        <f t="shared" si="7"/>
        <v>4.0295072143446383E-3</v>
      </c>
      <c r="M31" s="60">
        <f t="shared" si="7"/>
        <v>6.3564057465718251E-3</v>
      </c>
      <c r="N31" s="60">
        <f t="shared" si="7"/>
        <v>1.1804753529347674E-2</v>
      </c>
      <c r="O31" s="60">
        <f t="shared" si="7"/>
        <v>1.9296231730664467E-2</v>
      </c>
      <c r="P31" s="60">
        <f t="shared" si="7"/>
        <v>4.3416521393995051E-2</v>
      </c>
      <c r="Q31" s="60">
        <f t="shared" si="7"/>
        <v>2.9455130200631938E-2</v>
      </c>
      <c r="R31" s="60">
        <f t="shared" si="7"/>
        <v>9.2167883325291466E-2</v>
      </c>
      <c r="S31" s="88"/>
      <c r="T31" s="88"/>
      <c r="U31" s="51">
        <v>29.17</v>
      </c>
      <c r="V31" s="51" t="s">
        <v>97</v>
      </c>
      <c r="Y31" s="70"/>
    </row>
    <row r="32" spans="1:25" ht="15" customHeight="1" x14ac:dyDescent="0.3">
      <c r="A32" s="58" t="s">
        <v>103</v>
      </c>
      <c r="B32" s="55" t="s">
        <v>41</v>
      </c>
      <c r="C32" s="60">
        <f>U32/T9*C9</f>
        <v>0.61226308232290994</v>
      </c>
      <c r="D32" s="60">
        <f>U32/T9*D9</f>
        <v>1.2291885807897645</v>
      </c>
      <c r="E32" s="60">
        <f>U32/T9*E9</f>
        <v>0.69267286799383621</v>
      </c>
      <c r="F32" s="60">
        <f t="shared" si="6"/>
        <v>2.5341245311065106</v>
      </c>
      <c r="G32" s="60">
        <f t="shared" si="7"/>
        <v>6.8915916307376213</v>
      </c>
      <c r="H32" s="60">
        <f t="shared" si="7"/>
        <v>17.922733084813299</v>
      </c>
      <c r="I32" s="60">
        <f t="shared" si="7"/>
        <v>7.2616793585692712</v>
      </c>
      <c r="J32" s="60">
        <f t="shared" si="7"/>
        <v>32.076004074120185</v>
      </c>
      <c r="K32" s="60">
        <f t="shared" si="7"/>
        <v>1.6892812115740811E-3</v>
      </c>
      <c r="L32" s="60">
        <f t="shared" si="7"/>
        <v>4.7975586408703901E-3</v>
      </c>
      <c r="M32" s="60">
        <f t="shared" si="7"/>
        <v>7.5679798278518841E-3</v>
      </c>
      <c r="N32" s="60">
        <f t="shared" si="7"/>
        <v>1.4054819680296355E-2</v>
      </c>
      <c r="O32" s="60">
        <f t="shared" si="7"/>
        <v>2.2974224477407504E-2</v>
      </c>
      <c r="P32" s="60">
        <f t="shared" si="7"/>
        <v>5.1692005074166887E-2</v>
      </c>
      <c r="Q32" s="60">
        <f t="shared" si="7"/>
        <v>3.5069477952277925E-2</v>
      </c>
      <c r="R32" s="60">
        <f t="shared" si="7"/>
        <v>0.10973570750385232</v>
      </c>
      <c r="S32" s="88"/>
      <c r="T32" s="88"/>
      <c r="U32" s="51">
        <v>34.729999999999997</v>
      </c>
      <c r="V32" s="51" t="s">
        <v>98</v>
      </c>
      <c r="Y32" s="70"/>
    </row>
    <row r="33" spans="1:25" ht="15" customHeight="1" x14ac:dyDescent="0.3">
      <c r="A33" s="58">
        <v>2362</v>
      </c>
      <c r="B33" s="55" t="s">
        <v>42</v>
      </c>
      <c r="C33" s="60">
        <f>U33/T9*C9</f>
        <v>1.2516751754945754</v>
      </c>
      <c r="D33" s="60">
        <f>U33/T9*D9</f>
        <v>2.512881924447834</v>
      </c>
      <c r="E33" s="60">
        <f>U33/T9*E9</f>
        <v>1.416060282970411</v>
      </c>
      <c r="F33" s="60">
        <f t="shared" si="6"/>
        <v>5.1806173829128204</v>
      </c>
      <c r="G33" s="60">
        <f t="shared" si="7"/>
        <v>14.088770681899542</v>
      </c>
      <c r="H33" s="60">
        <f t="shared" si="7"/>
        <v>36.640197207651717</v>
      </c>
      <c r="I33" s="60">
        <f t="shared" si="7"/>
        <v>14.84535659252572</v>
      </c>
      <c r="J33" s="60">
        <f t="shared" si="7"/>
        <v>65.574324482076975</v>
      </c>
      <c r="K33" s="60">
        <f t="shared" si="7"/>
        <v>3.4534686444503242E-3</v>
      </c>
      <c r="L33" s="60">
        <f t="shared" si="7"/>
        <v>9.8078509502389204E-3</v>
      </c>
      <c r="M33" s="60">
        <f t="shared" si="7"/>
        <v>1.5471539527137453E-2</v>
      </c>
      <c r="N33" s="60">
        <f t="shared" si="7"/>
        <v>2.8732859121826698E-2</v>
      </c>
      <c r="O33" s="60">
        <f t="shared" si="7"/>
        <v>4.6967173564524407E-2</v>
      </c>
      <c r="P33" s="60">
        <f t="shared" si="7"/>
        <v>0.10567614052017993</v>
      </c>
      <c r="Q33" s="60">
        <f t="shared" si="7"/>
        <v>7.1694009058788741E-2</v>
      </c>
      <c r="R33" s="60">
        <f t="shared" si="7"/>
        <v>0.22433732314349308</v>
      </c>
      <c r="S33" s="88"/>
      <c r="T33" s="88"/>
      <c r="U33" s="51">
        <v>71</v>
      </c>
      <c r="V33" s="51" t="s">
        <v>101</v>
      </c>
      <c r="Y33" s="70"/>
    </row>
    <row r="34" spans="1:25" ht="15" customHeight="1" x14ac:dyDescent="0.3">
      <c r="A34" s="58" t="s">
        <v>13</v>
      </c>
      <c r="B34" s="55" t="s">
        <v>43</v>
      </c>
      <c r="C34" s="60">
        <v>0</v>
      </c>
      <c r="D34" s="60">
        <v>0</v>
      </c>
      <c r="E34" s="60">
        <v>0</v>
      </c>
      <c r="F34" s="60">
        <f t="shared" si="6"/>
        <v>0</v>
      </c>
      <c r="G34" s="60">
        <f t="shared" si="7"/>
        <v>0</v>
      </c>
      <c r="H34" s="60">
        <f t="shared" si="7"/>
        <v>0</v>
      </c>
      <c r="I34" s="60">
        <f t="shared" si="7"/>
        <v>0</v>
      </c>
      <c r="J34" s="60">
        <f t="shared" si="7"/>
        <v>0</v>
      </c>
      <c r="K34" s="60">
        <f t="shared" si="7"/>
        <v>0</v>
      </c>
      <c r="L34" s="60">
        <f t="shared" si="7"/>
        <v>0</v>
      </c>
      <c r="M34" s="60">
        <f t="shared" si="7"/>
        <v>0</v>
      </c>
      <c r="N34" s="60">
        <f t="shared" si="7"/>
        <v>0</v>
      </c>
      <c r="O34" s="60">
        <f t="shared" si="7"/>
        <v>0</v>
      </c>
      <c r="P34" s="60">
        <f t="shared" si="7"/>
        <v>0</v>
      </c>
      <c r="Q34" s="60">
        <f t="shared" si="7"/>
        <v>0</v>
      </c>
      <c r="R34" s="60">
        <f t="shared" si="7"/>
        <v>0</v>
      </c>
      <c r="S34" s="88"/>
      <c r="T34" s="88"/>
      <c r="U34" s="51">
        <v>0</v>
      </c>
      <c r="V34" s="51" t="s">
        <v>43</v>
      </c>
      <c r="Y34" s="70"/>
    </row>
    <row r="35" spans="1:25" ht="15" customHeight="1" x14ac:dyDescent="0.3">
      <c r="A35" s="56"/>
      <c r="B35" s="61" t="s">
        <v>44</v>
      </c>
      <c r="C35" s="60">
        <f>SUM(C16:C34)</f>
        <v>44.277650190491379</v>
      </c>
      <c r="D35" s="60">
        <f t="shared" ref="D35:R35" si="8">SUM(D16:D34)</f>
        <v>88.892477057193332</v>
      </c>
      <c r="E35" s="60">
        <f t="shared" si="8"/>
        <v>50.092726200499627</v>
      </c>
      <c r="F35" s="60">
        <f t="shared" si="8"/>
        <v>183.2628534481843</v>
      </c>
      <c r="G35" s="60">
        <f t="shared" si="8"/>
        <v>498.3862203871775</v>
      </c>
      <c r="H35" s="60">
        <f t="shared" si="8"/>
        <v>1296.1364630643764</v>
      </c>
      <c r="I35" s="60">
        <f t="shared" si="8"/>
        <v>525.15022988870305</v>
      </c>
      <c r="J35" s="60">
        <f t="shared" si="8"/>
        <v>2319.6729133402564</v>
      </c>
      <c r="K35" s="60">
        <f t="shared" si="8"/>
        <v>0.12216546239513129</v>
      </c>
      <c r="L35" s="60">
        <f t="shared" si="8"/>
        <v>0.34694991320217283</v>
      </c>
      <c r="M35" s="60">
        <f t="shared" si="8"/>
        <v>0.54730127153018826</v>
      </c>
      <c r="N35" s="60">
        <f t="shared" si="8"/>
        <v>1.0164166471274922</v>
      </c>
      <c r="O35" s="60">
        <f t="shared" si="8"/>
        <v>1.6614502885737856</v>
      </c>
      <c r="P35" s="60">
        <f t="shared" si="8"/>
        <v>3.7382631492910181</v>
      </c>
      <c r="Q35" s="60">
        <f t="shared" si="8"/>
        <v>2.536154999322926</v>
      </c>
      <c r="R35" s="60">
        <f t="shared" si="8"/>
        <v>7.9358684371877306</v>
      </c>
      <c r="S35" s="88"/>
      <c r="T35" s="88"/>
      <c r="U35" s="68"/>
      <c r="Y35" s="70"/>
    </row>
    <row r="36" spans="1:25" ht="20.25" customHeight="1" x14ac:dyDescent="0.3">
      <c r="A36" s="13" t="s">
        <v>45</v>
      </c>
      <c r="B36" s="13"/>
      <c r="C36" s="60">
        <f>C14+C35</f>
        <v>260.60731982713781</v>
      </c>
      <c r="D36" s="60">
        <f t="shared" ref="D36:R36" si="9">D14+D35</f>
        <v>523.19917834405305</v>
      </c>
      <c r="E36" s="60">
        <f t="shared" si="9"/>
        <v>294.83342186822534</v>
      </c>
      <c r="F36" s="60">
        <f t="shared" si="9"/>
        <v>1078.6399200394162</v>
      </c>
      <c r="G36" s="60">
        <f t="shared" si="9"/>
        <v>2933.3782749332067</v>
      </c>
      <c r="H36" s="60">
        <f t="shared" si="9"/>
        <v>7628.7392920858292</v>
      </c>
      <c r="I36" s="60">
        <f t="shared" si="9"/>
        <v>3090.9046286130701</v>
      </c>
      <c r="J36" s="60">
        <f t="shared" si="9"/>
        <v>13653.022195632104</v>
      </c>
      <c r="K36" s="60">
        <f t="shared" si="9"/>
        <v>0.71903575716570423</v>
      </c>
      <c r="L36" s="60">
        <f t="shared" si="9"/>
        <v>2.0420615503506001</v>
      </c>
      <c r="M36" s="60">
        <f t="shared" si="9"/>
        <v>3.2212801921023551</v>
      </c>
      <c r="N36" s="60">
        <f t="shared" si="9"/>
        <v>5.9823774996186589</v>
      </c>
      <c r="O36" s="60">
        <f t="shared" si="9"/>
        <v>9.7788862974535764</v>
      </c>
      <c r="P36" s="60">
        <f t="shared" si="9"/>
        <v>22.002494169270552</v>
      </c>
      <c r="Q36" s="60">
        <f t="shared" si="9"/>
        <v>14.927182318760021</v>
      </c>
      <c r="R36" s="60">
        <f t="shared" si="9"/>
        <v>46.708562785484148</v>
      </c>
      <c r="S36" s="88"/>
      <c r="T36" s="88"/>
      <c r="U36" s="68"/>
      <c r="Y36" s="70"/>
    </row>
    <row r="37" spans="1:25" ht="30.75" customHeight="1" x14ac:dyDescent="0.3">
      <c r="A37" s="13" t="s">
        <v>46</v>
      </c>
      <c r="B37" s="13"/>
      <c r="C37" s="62">
        <v>272</v>
      </c>
      <c r="D37" s="62">
        <v>272</v>
      </c>
      <c r="E37" s="62">
        <v>272</v>
      </c>
      <c r="F37" s="62" t="s">
        <v>47</v>
      </c>
      <c r="G37" s="62">
        <v>2543</v>
      </c>
      <c r="H37" s="62">
        <v>3122</v>
      </c>
      <c r="I37" s="62">
        <v>2543</v>
      </c>
      <c r="J37" s="62" t="s">
        <v>47</v>
      </c>
      <c r="K37" s="81">
        <v>1</v>
      </c>
      <c r="L37" s="81">
        <v>1</v>
      </c>
      <c r="M37" s="81">
        <v>1</v>
      </c>
      <c r="N37" s="81" t="s">
        <v>47</v>
      </c>
      <c r="O37" s="81">
        <v>9</v>
      </c>
      <c r="P37" s="81">
        <v>9</v>
      </c>
      <c r="Q37" s="81">
        <v>9</v>
      </c>
      <c r="R37" s="81" t="s">
        <v>47</v>
      </c>
      <c r="S37" s="105"/>
      <c r="T37" s="105"/>
      <c r="U37" s="68"/>
      <c r="Y37" s="70"/>
    </row>
    <row r="38" spans="1:25" ht="48.75" customHeight="1" x14ac:dyDescent="0.3">
      <c r="A38" s="13" t="s">
        <v>128</v>
      </c>
      <c r="B38" s="13"/>
      <c r="C38" s="60">
        <f>C14/C37</f>
        <v>0.79532966778178849</v>
      </c>
      <c r="D38" s="60">
        <f t="shared" ref="D38:E38" si="10">D14/D37</f>
        <v>1.5967158135546311</v>
      </c>
      <c r="E38" s="60">
        <f t="shared" si="10"/>
        <v>0.89978196936663868</v>
      </c>
      <c r="F38" s="60">
        <f>SUM(C38:E38)</f>
        <v>3.2918274507030585</v>
      </c>
      <c r="G38" s="60">
        <f>G14/G37</f>
        <v>0.95752735137476563</v>
      </c>
      <c r="H38" s="63">
        <f t="shared" ref="H38:I38" si="11">H14/H37</f>
        <v>2.0283801502310865</v>
      </c>
      <c r="I38" s="60">
        <f t="shared" si="11"/>
        <v>1.0089478563603489</v>
      </c>
      <c r="J38" s="60">
        <f>SUM(G38:I38)</f>
        <v>3.9948553579662009</v>
      </c>
      <c r="K38" s="60">
        <f>K14/K37</f>
        <v>0.59687029477057296</v>
      </c>
      <c r="L38" s="60">
        <f t="shared" ref="L38:M38" si="12">L14/L37</f>
        <v>1.6951116371484272</v>
      </c>
      <c r="M38" s="60">
        <f t="shared" si="12"/>
        <v>2.6739789205721669</v>
      </c>
      <c r="N38" s="60">
        <f>SUM(K38:M38)</f>
        <v>4.9659608524911665</v>
      </c>
      <c r="O38" s="60">
        <f>O14/O37</f>
        <v>0.9019373343199768</v>
      </c>
      <c r="P38" s="60">
        <f t="shared" ref="P38:Q38" si="13">P14/P37</f>
        <v>2.0293590022199481</v>
      </c>
      <c r="Q38" s="60">
        <f t="shared" si="13"/>
        <v>1.3767808132707884</v>
      </c>
      <c r="R38" s="60">
        <f>SUM(O38:Q38)</f>
        <v>4.3080771498107131</v>
      </c>
      <c r="S38" s="88"/>
      <c r="T38" s="88"/>
      <c r="U38" s="68"/>
      <c r="Y38" s="70"/>
    </row>
    <row r="39" spans="1:25" ht="56.25" customHeight="1" x14ac:dyDescent="0.3">
      <c r="A39" s="13" t="s">
        <v>125</v>
      </c>
      <c r="B39" s="13"/>
      <c r="C39" s="59">
        <f>C9/C37</f>
        <v>0.333125</v>
      </c>
      <c r="D39" s="59">
        <f t="shared" ref="D39:I39" si="14">D9/D37</f>
        <v>0.66878676470588239</v>
      </c>
      <c r="E39" s="59">
        <f t="shared" si="14"/>
        <v>0.37687500000000002</v>
      </c>
      <c r="F39" s="59">
        <f>SUM(C39:E39)</f>
        <v>1.3787867647058825</v>
      </c>
      <c r="G39" s="59">
        <f t="shared" si="14"/>
        <v>0.40106173810460083</v>
      </c>
      <c r="H39" s="59">
        <f t="shared" si="14"/>
        <v>0.8495900064061499</v>
      </c>
      <c r="I39" s="59">
        <f t="shared" si="14"/>
        <v>0.42259929217459696</v>
      </c>
      <c r="J39" s="59">
        <f>G39+H39+I39</f>
        <v>1.6732510366853477</v>
      </c>
      <c r="K39" s="59">
        <f>K9/K37</f>
        <v>0.25</v>
      </c>
      <c r="L39" s="59">
        <f t="shared" ref="L39:Q39" si="15">L9/L37</f>
        <v>0.71</v>
      </c>
      <c r="M39" s="59">
        <f t="shared" si="15"/>
        <v>1.1200000000000001</v>
      </c>
      <c r="N39" s="59">
        <f>SUM(K39:M39)</f>
        <v>2.08</v>
      </c>
      <c r="O39" s="59">
        <f t="shared" si="15"/>
        <v>0.37777777777777777</v>
      </c>
      <c r="P39" s="59">
        <f t="shared" si="15"/>
        <v>0.85000000000000009</v>
      </c>
      <c r="Q39" s="59">
        <f t="shared" si="15"/>
        <v>0.57666666666666666</v>
      </c>
      <c r="R39" s="59">
        <f>SUM(O39:Q39)</f>
        <v>1.8044444444444445</v>
      </c>
      <c r="S39" s="88"/>
      <c r="T39" s="88"/>
      <c r="U39" s="68"/>
      <c r="Y39" s="70"/>
    </row>
    <row r="40" spans="1:25" ht="21" customHeight="1" x14ac:dyDescent="0.3">
      <c r="A40" s="106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88"/>
      <c r="T40" s="88"/>
      <c r="U40" s="68"/>
      <c r="Y40" s="70"/>
    </row>
    <row r="41" spans="1:25" x14ac:dyDescent="0.3">
      <c r="U41" s="68"/>
      <c r="Y41" s="70"/>
    </row>
    <row r="42" spans="1:25" x14ac:dyDescent="0.3">
      <c r="I42" s="70"/>
    </row>
  </sheetData>
  <mergeCells count="10">
    <mergeCell ref="L1:R1"/>
    <mergeCell ref="A36:B36"/>
    <mergeCell ref="A37:B37"/>
    <mergeCell ref="A38:B38"/>
    <mergeCell ref="A39:B39"/>
    <mergeCell ref="A6:B6"/>
    <mergeCell ref="C6:F6"/>
    <mergeCell ref="G6:J6"/>
    <mergeCell ref="K6:N6"/>
    <mergeCell ref="O6:R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6EF1-8685-4DE0-83BA-CA33C6743FB4}">
  <sheetPr>
    <pageSetUpPr fitToPage="1"/>
  </sheetPr>
  <dimension ref="A1:Y39"/>
  <sheetViews>
    <sheetView tabSelected="1" zoomScale="106" zoomScaleNormal="106" workbookViewId="0">
      <selection activeCell="B38" sqref="B38"/>
    </sheetView>
  </sheetViews>
  <sheetFormatPr defaultColWidth="9.109375" defaultRowHeight="15.6" x14ac:dyDescent="0.3"/>
  <cols>
    <col min="1" max="1" width="24.5546875" style="76" customWidth="1"/>
    <col min="2" max="2" width="43" style="79" customWidth="1"/>
    <col min="3" max="10" width="10.6640625" style="76" customWidth="1"/>
    <col min="11" max="13" width="10.109375" style="73" hidden="1" customWidth="1"/>
    <col min="14" max="14" width="26.44140625" style="76" hidden="1" customWidth="1"/>
    <col min="15" max="16384" width="9.109375" style="76"/>
  </cols>
  <sheetData>
    <row r="1" spans="1:25" s="70" customFormat="1" ht="48" customHeight="1" x14ac:dyDescent="0.3">
      <c r="A1" s="66"/>
      <c r="B1" s="66"/>
      <c r="C1" s="66"/>
      <c r="D1" s="14" t="s">
        <v>138</v>
      </c>
      <c r="E1" s="14"/>
      <c r="F1" s="14"/>
      <c r="G1" s="14"/>
      <c r="H1" s="14"/>
      <c r="I1" s="14"/>
      <c r="J1" s="14"/>
      <c r="K1" s="72"/>
      <c r="L1" s="72"/>
      <c r="M1" s="72"/>
    </row>
    <row r="2" spans="1:25" s="70" customFormat="1" x14ac:dyDescent="0.3">
      <c r="A2" s="65"/>
      <c r="B2" s="65"/>
      <c r="C2" s="71"/>
      <c r="D2" s="71"/>
      <c r="E2" s="71"/>
      <c r="F2" s="82"/>
      <c r="G2" s="82"/>
      <c r="H2" s="82"/>
      <c r="I2" s="82"/>
      <c r="J2" s="82"/>
      <c r="K2" s="83"/>
      <c r="L2" s="83"/>
      <c r="M2" s="68"/>
    </row>
    <row r="3" spans="1:25" s="70" customFormat="1" x14ac:dyDescent="0.3">
      <c r="A3" s="64" t="s">
        <v>14</v>
      </c>
      <c r="B3" s="65"/>
      <c r="C3" s="71"/>
      <c r="D3" s="71"/>
      <c r="E3" s="71"/>
      <c r="F3" s="71"/>
      <c r="G3" s="71"/>
      <c r="H3" s="71"/>
      <c r="I3" s="71"/>
      <c r="J3" s="71"/>
      <c r="K3" s="84"/>
      <c r="L3" s="68"/>
      <c r="M3" s="68"/>
    </row>
    <row r="4" spans="1:25" s="70" customFormat="1" x14ac:dyDescent="0.3">
      <c r="A4" s="16" t="s">
        <v>126</v>
      </c>
      <c r="B4" s="66"/>
      <c r="C4" s="65"/>
      <c r="D4" s="71"/>
      <c r="E4" s="71"/>
      <c r="F4" s="71"/>
      <c r="G4" s="71"/>
      <c r="H4" s="71"/>
      <c r="I4" s="71"/>
      <c r="J4" s="71"/>
      <c r="K4" s="85"/>
      <c r="L4" s="68"/>
      <c r="M4" s="68"/>
    </row>
    <row r="6" spans="1:25" x14ac:dyDescent="0.3">
      <c r="A6" s="9" t="s">
        <v>61</v>
      </c>
      <c r="B6" s="8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ht="31.2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L7" s="86" t="s">
        <v>79</v>
      </c>
      <c r="M7" s="86" t="s">
        <v>80</v>
      </c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spans="1:25" x14ac:dyDescent="0.3">
      <c r="A9" s="58">
        <v>2363</v>
      </c>
      <c r="B9" s="55" t="s">
        <v>18</v>
      </c>
      <c r="C9" s="59">
        <v>59.73</v>
      </c>
      <c r="D9" s="59">
        <v>155.59</v>
      </c>
      <c r="E9" s="59">
        <v>41.09</v>
      </c>
      <c r="F9" s="59">
        <f>C9+D9+E9</f>
        <v>256.40999999999997</v>
      </c>
      <c r="G9" s="59">
        <v>319.62</v>
      </c>
      <c r="H9" s="59">
        <v>702.17</v>
      </c>
      <c r="I9" s="59">
        <v>210.49</v>
      </c>
      <c r="J9" s="59">
        <f>SUM(G9:I9)</f>
        <v>1232.28</v>
      </c>
      <c r="L9" s="77">
        <v>1490.64</v>
      </c>
      <c r="N9" s="75"/>
      <c r="O9" s="75"/>
      <c r="P9" s="75"/>
      <c r="Q9" s="75"/>
      <c r="R9" s="75"/>
      <c r="S9" s="75"/>
      <c r="T9" s="75"/>
      <c r="U9" s="75">
        <v>1490.64</v>
      </c>
      <c r="V9" s="75"/>
      <c r="W9" s="75"/>
      <c r="X9" s="75"/>
      <c r="Y9" s="75"/>
    </row>
    <row r="10" spans="1:25" x14ac:dyDescent="0.3">
      <c r="A10" s="58">
        <v>1100</v>
      </c>
      <c r="B10" s="55" t="s">
        <v>19</v>
      </c>
      <c r="C10" s="60">
        <f>M10/L9*C9</f>
        <v>52.091048140396062</v>
      </c>
      <c r="D10" s="60">
        <f>M10/L9*D9</f>
        <v>135.69138088337894</v>
      </c>
      <c r="E10" s="60">
        <f>M10/L9*E9</f>
        <v>35.83494338002469</v>
      </c>
      <c r="F10" s="60">
        <f>SUM(C10:E10)</f>
        <v>223.61737240379969</v>
      </c>
      <c r="G10" s="60">
        <f>M10/L9*G9</f>
        <v>278.74335855739815</v>
      </c>
      <c r="H10" s="60">
        <f>M10/L9*H9</f>
        <v>612.3685128535393</v>
      </c>
      <c r="I10" s="60">
        <f>M10/L9*I9</f>
        <v>183.57014436751999</v>
      </c>
      <c r="J10" s="60">
        <f>SUM(G10:I10)</f>
        <v>1074.6820157784575</v>
      </c>
      <c r="M10" s="73">
        <v>1300</v>
      </c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</row>
    <row r="11" spans="1:25" ht="46.8" x14ac:dyDescent="0.3">
      <c r="A11" s="58">
        <v>1200</v>
      </c>
      <c r="B11" s="55" t="s">
        <v>20</v>
      </c>
      <c r="C11" s="60">
        <f>M11/L9*C9</f>
        <v>12.288278256319431</v>
      </c>
      <c r="D11" s="60">
        <f>M11/L9*D9</f>
        <v>32.009596750389093</v>
      </c>
      <c r="E11" s="60">
        <f>M11/L9*E9</f>
        <v>8.4534631433478236</v>
      </c>
      <c r="F11" s="60">
        <f>SUM(C11:E11)</f>
        <v>52.751338150056348</v>
      </c>
      <c r="G11" s="60">
        <f>M11/L9*G9</f>
        <v>65.75555828369022</v>
      </c>
      <c r="H11" s="60">
        <f>M11/L9*H9</f>
        <v>144.45773218214993</v>
      </c>
      <c r="I11" s="60">
        <f>M11/L9*I9</f>
        <v>43.304197056297966</v>
      </c>
      <c r="J11" s="60">
        <f>SUM(G11:I11)</f>
        <v>253.51748752213811</v>
      </c>
      <c r="M11" s="73">
        <f>M10*0.2359</f>
        <v>306.67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</row>
    <row r="12" spans="1:25" x14ac:dyDescent="0.3">
      <c r="A12" s="58">
        <v>2222</v>
      </c>
      <c r="B12" s="55" t="s">
        <v>21</v>
      </c>
      <c r="C12" s="60">
        <f>M12/L9*C9</f>
        <v>10.824519803574303</v>
      </c>
      <c r="D12" s="60">
        <f>M12/L9*D9</f>
        <v>28.196668947566145</v>
      </c>
      <c r="E12" s="60">
        <f>M12/L9*E9</f>
        <v>7.4465012343691299</v>
      </c>
      <c r="F12" s="60">
        <f t="shared" ref="F12:F13" si="0">SUM(C12:E12)</f>
        <v>46.46768998550958</v>
      </c>
      <c r="G12" s="60">
        <f>M12/L9*G9</f>
        <v>57.922869908227334</v>
      </c>
      <c r="H12" s="60">
        <f>M12/L9*H9</f>
        <v>127.25017697096547</v>
      </c>
      <c r="I12" s="60">
        <f>M12/L9*I9</f>
        <v>38.145875999570656</v>
      </c>
      <c r="J12" s="60">
        <f t="shared" ref="J12:J13" si="1">SUM(G12:I12)</f>
        <v>223.31892287876346</v>
      </c>
      <c r="M12" s="73">
        <f>2078*0.13</f>
        <v>270.14</v>
      </c>
      <c r="N12" s="69" t="s">
        <v>87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</row>
    <row r="13" spans="1:25" x14ac:dyDescent="0.3">
      <c r="A13" s="58">
        <v>2223</v>
      </c>
      <c r="B13" s="55" t="s">
        <v>22</v>
      </c>
      <c r="C13" s="60">
        <f>M13/L9*C9</f>
        <v>30.613908992110769</v>
      </c>
      <c r="D13" s="60">
        <f>M13/L9*D9</f>
        <v>79.74582454516181</v>
      </c>
      <c r="E13" s="60">
        <f>M13/L9*E9</f>
        <v>21.06019622444051</v>
      </c>
      <c r="F13" s="60">
        <f t="shared" si="0"/>
        <v>131.41992976171309</v>
      </c>
      <c r="G13" s="60">
        <f>M13/L9*G9</f>
        <v>163.81747182418292</v>
      </c>
      <c r="H13" s="60">
        <f>M13/L9*H9</f>
        <v>359.8889750040251</v>
      </c>
      <c r="I13" s="60">
        <f>M13/L9*I9</f>
        <v>107.8841738447915</v>
      </c>
      <c r="J13" s="60">
        <f t="shared" si="1"/>
        <v>631.59062067299953</v>
      </c>
      <c r="M13" s="73">
        <f>5877*0.13</f>
        <v>764.01</v>
      </c>
      <c r="N13" s="69" t="s">
        <v>87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</row>
    <row r="14" spans="1:25" x14ac:dyDescent="0.3">
      <c r="A14" s="56"/>
      <c r="B14" s="61" t="s">
        <v>23</v>
      </c>
      <c r="C14" s="60">
        <f>SUM(C9:C13)</f>
        <v>165.54775519240056</v>
      </c>
      <c r="D14" s="60">
        <f t="shared" ref="D14:J14" si="2">SUM(D9:D13)</f>
        <v>431.23347112649594</v>
      </c>
      <c r="E14" s="60">
        <f t="shared" si="2"/>
        <v>113.88510398218216</v>
      </c>
      <c r="F14" s="60">
        <f t="shared" si="2"/>
        <v>710.66633030107857</v>
      </c>
      <c r="G14" s="60">
        <f t="shared" si="2"/>
        <v>885.85925857349866</v>
      </c>
      <c r="H14" s="60">
        <f t="shared" si="2"/>
        <v>1946.1353970106798</v>
      </c>
      <c r="I14" s="60">
        <f t="shared" si="2"/>
        <v>583.39439126818013</v>
      </c>
      <c r="J14" s="60">
        <f t="shared" si="2"/>
        <v>3415.3890468523587</v>
      </c>
      <c r="M14" s="87">
        <f>SUM(M10:M13)</f>
        <v>2640.8199999999997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</row>
    <row r="15" spans="1:25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</row>
    <row r="16" spans="1:25" x14ac:dyDescent="0.3">
      <c r="A16" s="58">
        <v>1100</v>
      </c>
      <c r="B16" s="55" t="s">
        <v>25</v>
      </c>
      <c r="C16" s="60">
        <f t="shared" ref="C16:J34" si="3">$V16/$U$9*C$9</f>
        <v>0</v>
      </c>
      <c r="D16" s="60">
        <f t="shared" si="3"/>
        <v>0</v>
      </c>
      <c r="E16" s="60">
        <f t="shared" si="3"/>
        <v>0</v>
      </c>
      <c r="F16" s="60">
        <f t="shared" si="3"/>
        <v>0</v>
      </c>
      <c r="G16" s="60">
        <f t="shared" si="3"/>
        <v>0</v>
      </c>
      <c r="H16" s="60">
        <f t="shared" si="3"/>
        <v>0</v>
      </c>
      <c r="I16" s="60">
        <f t="shared" si="3"/>
        <v>0</v>
      </c>
      <c r="J16" s="60">
        <f t="shared" si="3"/>
        <v>0</v>
      </c>
      <c r="N16" s="75"/>
      <c r="O16" s="75"/>
      <c r="P16" s="75"/>
      <c r="Q16" s="75"/>
      <c r="R16" s="75"/>
      <c r="S16" s="75"/>
      <c r="T16" s="75"/>
      <c r="U16" s="75"/>
      <c r="V16" s="69">
        <v>0</v>
      </c>
      <c r="W16" s="69"/>
      <c r="X16" s="75"/>
      <c r="Y16" s="75"/>
    </row>
    <row r="17" spans="1:25" ht="46.8" x14ac:dyDescent="0.3">
      <c r="A17" s="58">
        <v>1200</v>
      </c>
      <c r="B17" s="55" t="s">
        <v>26</v>
      </c>
      <c r="C17" s="60">
        <f t="shared" si="3"/>
        <v>0</v>
      </c>
      <c r="D17" s="60">
        <f t="shared" si="3"/>
        <v>0</v>
      </c>
      <c r="E17" s="60">
        <f t="shared" si="3"/>
        <v>0</v>
      </c>
      <c r="F17" s="60">
        <f t="shared" si="3"/>
        <v>0</v>
      </c>
      <c r="G17" s="60">
        <f t="shared" si="3"/>
        <v>0</v>
      </c>
      <c r="H17" s="60">
        <f t="shared" si="3"/>
        <v>0</v>
      </c>
      <c r="I17" s="60">
        <f t="shared" si="3"/>
        <v>0</v>
      </c>
      <c r="J17" s="60">
        <f t="shared" si="3"/>
        <v>0</v>
      </c>
      <c r="N17" s="75"/>
      <c r="O17" s="75"/>
      <c r="P17" s="75"/>
      <c r="Q17" s="75"/>
      <c r="R17" s="75"/>
      <c r="S17" s="75"/>
      <c r="T17" s="75"/>
      <c r="U17" s="75"/>
      <c r="V17" s="69">
        <f>V16*0.2359</f>
        <v>0</v>
      </c>
      <c r="W17" s="69"/>
      <c r="X17" s="75"/>
      <c r="Y17" s="75"/>
    </row>
    <row r="18" spans="1:25" x14ac:dyDescent="0.3">
      <c r="A18" s="58">
        <v>2210</v>
      </c>
      <c r="B18" s="55" t="s">
        <v>27</v>
      </c>
      <c r="C18" s="60">
        <f t="shared" si="3"/>
        <v>6.6916961841893399E-2</v>
      </c>
      <c r="D18" s="60">
        <f t="shared" si="3"/>
        <v>0.17431123544249447</v>
      </c>
      <c r="E18" s="60">
        <f t="shared" si="3"/>
        <v>4.6034119572800937E-2</v>
      </c>
      <c r="F18" s="60">
        <f t="shared" si="3"/>
        <v>0.28726231685718878</v>
      </c>
      <c r="G18" s="60">
        <f t="shared" si="3"/>
        <v>0.35807800676219603</v>
      </c>
      <c r="H18" s="60">
        <f t="shared" si="3"/>
        <v>0.78665801266570046</v>
      </c>
      <c r="I18" s="60">
        <f t="shared" si="3"/>
        <v>0.23581703161058334</v>
      </c>
      <c r="J18" s="60">
        <f t="shared" si="3"/>
        <v>1.3805530510384798</v>
      </c>
      <c r="N18" s="75"/>
      <c r="O18" s="75"/>
      <c r="P18" s="75"/>
      <c r="Q18" s="75"/>
      <c r="R18" s="75"/>
      <c r="S18" s="75"/>
      <c r="T18" s="75"/>
      <c r="U18" s="75"/>
      <c r="V18" s="31">
        <v>1.67</v>
      </c>
      <c r="W18" s="31" t="s">
        <v>108</v>
      </c>
      <c r="X18" s="75"/>
      <c r="Y18" s="75"/>
    </row>
    <row r="19" spans="1:25" x14ac:dyDescent="0.3">
      <c r="A19" s="58">
        <v>2221</v>
      </c>
      <c r="B19" s="55" t="s">
        <v>28</v>
      </c>
      <c r="C19" s="60">
        <f t="shared" si="3"/>
        <v>10.025923965544999</v>
      </c>
      <c r="D19" s="60">
        <f t="shared" si="3"/>
        <v>26.116415700638651</v>
      </c>
      <c r="E19" s="60">
        <f t="shared" si="3"/>
        <v>6.8971239870122902</v>
      </c>
      <c r="F19" s="60">
        <f t="shared" si="3"/>
        <v>43.039463653195938</v>
      </c>
      <c r="G19" s="60">
        <f t="shared" si="3"/>
        <v>53.6495198035743</v>
      </c>
      <c r="H19" s="60">
        <f t="shared" si="3"/>
        <v>117.86209661621852</v>
      </c>
      <c r="I19" s="60">
        <f t="shared" si="3"/>
        <v>35.331604478613215</v>
      </c>
      <c r="J19" s="60">
        <f t="shared" si="3"/>
        <v>206.84322089840603</v>
      </c>
      <c r="N19" s="75"/>
      <c r="O19" s="75"/>
      <c r="P19" s="75"/>
      <c r="Q19" s="75"/>
      <c r="R19" s="75"/>
      <c r="S19" s="75"/>
      <c r="T19" s="75"/>
      <c r="U19" s="75"/>
      <c r="V19" s="31">
        <v>250.21</v>
      </c>
      <c r="W19" s="31" t="s">
        <v>89</v>
      </c>
      <c r="X19" s="75"/>
      <c r="Y19" s="75"/>
    </row>
    <row r="20" spans="1:25" x14ac:dyDescent="0.3">
      <c r="A20" s="58">
        <v>2224</v>
      </c>
      <c r="B20" s="55" t="s">
        <v>29</v>
      </c>
      <c r="C20" s="60">
        <f t="shared" si="3"/>
        <v>0.28049025921751725</v>
      </c>
      <c r="D20" s="60">
        <f t="shared" si="3"/>
        <v>0.73064589706434813</v>
      </c>
      <c r="E20" s="60">
        <f t="shared" si="3"/>
        <v>0.19295738743090216</v>
      </c>
      <c r="F20" s="60">
        <f t="shared" si="3"/>
        <v>1.2040935437127673</v>
      </c>
      <c r="G20" s="60">
        <f t="shared" si="3"/>
        <v>1.5009257768475284</v>
      </c>
      <c r="H20" s="60">
        <f t="shared" si="3"/>
        <v>3.2973689153652117</v>
      </c>
      <c r="I20" s="60">
        <f t="shared" si="3"/>
        <v>0.98845462351741531</v>
      </c>
      <c r="J20" s="60">
        <f t="shared" si="3"/>
        <v>5.7867493157301553</v>
      </c>
      <c r="N20" s="75"/>
      <c r="O20" s="75"/>
      <c r="P20" s="75"/>
      <c r="Q20" s="75"/>
      <c r="R20" s="75"/>
      <c r="S20" s="75"/>
      <c r="T20" s="75"/>
      <c r="U20" s="75"/>
      <c r="V20" s="31">
        <v>7</v>
      </c>
      <c r="W20" s="31" t="s">
        <v>90</v>
      </c>
      <c r="X20" s="75"/>
      <c r="Y20" s="75"/>
    </row>
    <row r="21" spans="1:25" x14ac:dyDescent="0.3">
      <c r="A21" s="58">
        <v>2234</v>
      </c>
      <c r="B21" s="55" t="s">
        <v>30</v>
      </c>
      <c r="C21" s="60">
        <f t="shared" si="3"/>
        <v>2.4042022218644341</v>
      </c>
      <c r="D21" s="60">
        <f t="shared" si="3"/>
        <v>6.2626791176944137</v>
      </c>
      <c r="E21" s="60">
        <f t="shared" si="3"/>
        <v>1.6539204636934473</v>
      </c>
      <c r="F21" s="60">
        <f t="shared" si="3"/>
        <v>10.320801803252293</v>
      </c>
      <c r="G21" s="60">
        <f t="shared" si="3"/>
        <v>12.86507808726453</v>
      </c>
      <c r="H21" s="60">
        <f t="shared" si="3"/>
        <v>28.263162131701819</v>
      </c>
      <c r="I21" s="60">
        <f t="shared" si="3"/>
        <v>8.472468201577847</v>
      </c>
      <c r="J21" s="60">
        <f t="shared" si="3"/>
        <v>49.600708420544194</v>
      </c>
      <c r="N21" s="75"/>
      <c r="O21" s="75"/>
      <c r="P21" s="75"/>
      <c r="Q21" s="75"/>
      <c r="R21" s="75"/>
      <c r="S21" s="75"/>
      <c r="T21" s="75"/>
      <c r="U21" s="75"/>
      <c r="V21" s="31">
        <f>2*30</f>
        <v>60</v>
      </c>
      <c r="W21" s="31" t="s">
        <v>91</v>
      </c>
      <c r="X21" s="75"/>
      <c r="Y21" s="75"/>
    </row>
    <row r="22" spans="1:25" x14ac:dyDescent="0.3">
      <c r="A22" s="58">
        <v>2235</v>
      </c>
      <c r="B22" s="55" t="s">
        <v>31</v>
      </c>
      <c r="C22" s="60">
        <f t="shared" si="3"/>
        <v>1.6028014812429558</v>
      </c>
      <c r="D22" s="60">
        <f t="shared" si="3"/>
        <v>4.1751194117962758</v>
      </c>
      <c r="E22" s="60">
        <f t="shared" si="3"/>
        <v>1.1026136424622981</v>
      </c>
      <c r="F22" s="60">
        <f t="shared" si="3"/>
        <v>6.8805345355015284</v>
      </c>
      <c r="G22" s="60">
        <f t="shared" si="3"/>
        <v>8.5767187248430208</v>
      </c>
      <c r="H22" s="60">
        <f t="shared" si="3"/>
        <v>18.842108087801211</v>
      </c>
      <c r="I22" s="60">
        <f t="shared" si="3"/>
        <v>5.6483121343852307</v>
      </c>
      <c r="J22" s="60">
        <f t="shared" si="3"/>
        <v>33.067138947029463</v>
      </c>
      <c r="N22" s="75"/>
      <c r="O22" s="75"/>
      <c r="P22" s="75"/>
      <c r="Q22" s="75"/>
      <c r="R22" s="75"/>
      <c r="S22" s="75"/>
      <c r="T22" s="75"/>
      <c r="U22" s="75"/>
      <c r="V22" s="31">
        <f>2*20</f>
        <v>40</v>
      </c>
      <c r="W22" s="31" t="s">
        <v>92</v>
      </c>
      <c r="X22" s="75"/>
      <c r="Y22" s="75"/>
    </row>
    <row r="23" spans="1:25" x14ac:dyDescent="0.3">
      <c r="A23" s="58">
        <v>2243</v>
      </c>
      <c r="B23" s="55" t="s">
        <v>32</v>
      </c>
      <c r="C23" s="60">
        <f t="shared" si="3"/>
        <v>0.40070037031073896</v>
      </c>
      <c r="D23" s="60">
        <f t="shared" si="3"/>
        <v>1.0437798529490689</v>
      </c>
      <c r="E23" s="60">
        <f t="shared" si="3"/>
        <v>0.27565341061557452</v>
      </c>
      <c r="F23" s="60">
        <f t="shared" si="3"/>
        <v>1.7201336338753821</v>
      </c>
      <c r="G23" s="60">
        <f t="shared" si="3"/>
        <v>2.1441796812107552</v>
      </c>
      <c r="H23" s="60">
        <f t="shared" si="3"/>
        <v>4.7105270219503028</v>
      </c>
      <c r="I23" s="60">
        <f t="shared" si="3"/>
        <v>1.4120780335963077</v>
      </c>
      <c r="J23" s="60">
        <f t="shared" si="3"/>
        <v>8.2667847367573657</v>
      </c>
      <c r="N23" s="75"/>
      <c r="O23" s="75"/>
      <c r="P23" s="75"/>
      <c r="Q23" s="75"/>
      <c r="R23" s="75"/>
      <c r="S23" s="75"/>
      <c r="T23" s="75"/>
      <c r="U23" s="75"/>
      <c r="V23" s="31">
        <v>10</v>
      </c>
      <c r="W23" s="31" t="s">
        <v>93</v>
      </c>
      <c r="X23" s="75"/>
      <c r="Y23" s="75"/>
    </row>
    <row r="24" spans="1:25" x14ac:dyDescent="0.3">
      <c r="A24" s="58">
        <v>2244</v>
      </c>
      <c r="B24" s="55" t="s">
        <v>33</v>
      </c>
      <c r="C24" s="60">
        <f t="shared" si="3"/>
        <v>0.55256581065850896</v>
      </c>
      <c r="D24" s="60">
        <f t="shared" si="3"/>
        <v>1.4393724172167657</v>
      </c>
      <c r="E24" s="60">
        <f t="shared" si="3"/>
        <v>0.38012605323887722</v>
      </c>
      <c r="F24" s="60">
        <f t="shared" si="3"/>
        <v>2.3720642811141515</v>
      </c>
      <c r="G24" s="60">
        <f t="shared" si="3"/>
        <v>2.9568237803896307</v>
      </c>
      <c r="H24" s="60">
        <f t="shared" si="3"/>
        <v>6.4958167632694668</v>
      </c>
      <c r="I24" s="60">
        <f t="shared" si="3"/>
        <v>1.9472556083293078</v>
      </c>
      <c r="J24" s="60">
        <f t="shared" si="3"/>
        <v>11.399896151988404</v>
      </c>
      <c r="N24" s="75"/>
      <c r="O24" s="75"/>
      <c r="P24" s="75"/>
      <c r="Q24" s="75"/>
      <c r="R24" s="75"/>
      <c r="S24" s="75"/>
      <c r="T24" s="75"/>
      <c r="U24" s="75"/>
      <c r="V24" s="31">
        <v>13.79</v>
      </c>
      <c r="W24" s="31" t="s">
        <v>94</v>
      </c>
      <c r="X24" s="75"/>
      <c r="Y24" s="75"/>
    </row>
    <row r="25" spans="1:25" x14ac:dyDescent="0.3">
      <c r="A25" s="58">
        <v>2247</v>
      </c>
      <c r="B25" s="55" t="s">
        <v>34</v>
      </c>
      <c r="C25" s="60">
        <f t="shared" si="3"/>
        <v>3.1655329254548378E-2</v>
      </c>
      <c r="D25" s="60">
        <f t="shared" si="3"/>
        <v>8.2458608382976445E-2</v>
      </c>
      <c r="E25" s="60">
        <f t="shared" si="3"/>
        <v>2.1776619438630389E-2</v>
      </c>
      <c r="F25" s="60">
        <f t="shared" si="3"/>
        <v>0.13589055707615519</v>
      </c>
      <c r="G25" s="60">
        <f t="shared" si="3"/>
        <v>0.16939019481564965</v>
      </c>
      <c r="H25" s="60">
        <f t="shared" si="3"/>
        <v>0.3721316347340739</v>
      </c>
      <c r="I25" s="60">
        <f t="shared" si="3"/>
        <v>0.11155416465410831</v>
      </c>
      <c r="J25" s="60">
        <f t="shared" si="3"/>
        <v>0.65307599420383189</v>
      </c>
      <c r="N25" s="75"/>
      <c r="O25" s="75"/>
      <c r="P25" s="75"/>
      <c r="Q25" s="75"/>
      <c r="R25" s="75"/>
      <c r="S25" s="75"/>
      <c r="T25" s="75"/>
      <c r="U25" s="75"/>
      <c r="V25" s="31">
        <v>0.79</v>
      </c>
      <c r="W25" s="31" t="s">
        <v>95</v>
      </c>
      <c r="X25" s="75"/>
      <c r="Y25" s="75"/>
    </row>
    <row r="26" spans="1:25" x14ac:dyDescent="0.3">
      <c r="A26" s="58">
        <v>2251</v>
      </c>
      <c r="B26" s="55" t="s">
        <v>35</v>
      </c>
      <c r="C26" s="60">
        <f t="shared" si="3"/>
        <v>0</v>
      </c>
      <c r="D26" s="60">
        <f t="shared" si="3"/>
        <v>0</v>
      </c>
      <c r="E26" s="60">
        <f t="shared" si="3"/>
        <v>0</v>
      </c>
      <c r="F26" s="60">
        <f t="shared" si="3"/>
        <v>0</v>
      </c>
      <c r="G26" s="60">
        <f t="shared" si="3"/>
        <v>0</v>
      </c>
      <c r="H26" s="60">
        <f t="shared" si="3"/>
        <v>0</v>
      </c>
      <c r="I26" s="60">
        <f t="shared" si="3"/>
        <v>0</v>
      </c>
      <c r="J26" s="60">
        <f t="shared" si="3"/>
        <v>0</v>
      </c>
      <c r="N26" s="75"/>
      <c r="O26" s="75"/>
      <c r="P26" s="75"/>
      <c r="Q26" s="75"/>
      <c r="R26" s="75"/>
      <c r="S26" s="75"/>
      <c r="T26" s="75"/>
      <c r="U26" s="75"/>
      <c r="V26" s="31">
        <v>0</v>
      </c>
      <c r="W26" s="31" t="s">
        <v>96</v>
      </c>
      <c r="X26" s="75"/>
      <c r="Y26" s="75"/>
    </row>
    <row r="27" spans="1:25" x14ac:dyDescent="0.3">
      <c r="A27" s="58">
        <v>2311</v>
      </c>
      <c r="B27" s="55" t="s">
        <v>36</v>
      </c>
      <c r="C27" s="60">
        <f t="shared" si="3"/>
        <v>6.0906456287232319E-2</v>
      </c>
      <c r="D27" s="60">
        <f t="shared" si="3"/>
        <v>0.15865453764825846</v>
      </c>
      <c r="E27" s="60">
        <f t="shared" si="3"/>
        <v>4.1899318413567324E-2</v>
      </c>
      <c r="F27" s="60">
        <f t="shared" si="3"/>
        <v>0.26146031234905809</v>
      </c>
      <c r="G27" s="60">
        <f t="shared" si="3"/>
        <v>0.32591531154403475</v>
      </c>
      <c r="H27" s="60">
        <f t="shared" si="3"/>
        <v>0.71600010733644592</v>
      </c>
      <c r="I27" s="60">
        <f t="shared" si="3"/>
        <v>0.21463586110663874</v>
      </c>
      <c r="J27" s="60">
        <f t="shared" si="3"/>
        <v>1.2565512799871195</v>
      </c>
      <c r="N27" s="75"/>
      <c r="O27" s="75"/>
      <c r="P27" s="75"/>
      <c r="Q27" s="75"/>
      <c r="R27" s="75"/>
      <c r="S27" s="75"/>
      <c r="T27" s="75"/>
      <c r="U27" s="75"/>
      <c r="V27" s="31">
        <v>1.52</v>
      </c>
      <c r="W27" s="31" t="s">
        <v>97</v>
      </c>
      <c r="X27" s="75"/>
      <c r="Y27" s="75"/>
    </row>
    <row r="28" spans="1:25" x14ac:dyDescent="0.3">
      <c r="A28" s="58">
        <v>2312</v>
      </c>
      <c r="B28" s="55" t="s">
        <v>37</v>
      </c>
      <c r="C28" s="60">
        <f t="shared" si="3"/>
        <v>0.25885243922073736</v>
      </c>
      <c r="D28" s="60">
        <f t="shared" si="3"/>
        <v>0.67428178500509839</v>
      </c>
      <c r="E28" s="60">
        <f t="shared" si="3"/>
        <v>0.17807210325766112</v>
      </c>
      <c r="F28" s="60">
        <f t="shared" si="3"/>
        <v>1.1112063274834967</v>
      </c>
      <c r="G28" s="60">
        <f t="shared" si="3"/>
        <v>1.3851400740621476</v>
      </c>
      <c r="H28" s="60">
        <f t="shared" si="3"/>
        <v>3.0430004561798953</v>
      </c>
      <c r="I28" s="60">
        <f t="shared" si="3"/>
        <v>0.91220240970321465</v>
      </c>
      <c r="J28" s="60">
        <f t="shared" si="3"/>
        <v>5.3403429399452573</v>
      </c>
      <c r="N28" s="75"/>
      <c r="O28" s="75"/>
      <c r="P28" s="75"/>
      <c r="Q28" s="75"/>
      <c r="R28" s="75"/>
      <c r="S28" s="75"/>
      <c r="T28" s="75"/>
      <c r="U28" s="75"/>
      <c r="V28" s="31">
        <v>6.46</v>
      </c>
      <c r="W28" s="31" t="s">
        <v>98</v>
      </c>
      <c r="X28" s="75"/>
      <c r="Y28" s="75"/>
    </row>
    <row r="29" spans="1:25" x14ac:dyDescent="0.3">
      <c r="A29" s="58">
        <v>2321</v>
      </c>
      <c r="B29" s="55" t="s">
        <v>38</v>
      </c>
      <c r="C29" s="60">
        <f t="shared" si="3"/>
        <v>0</v>
      </c>
      <c r="D29" s="60">
        <f t="shared" si="3"/>
        <v>0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0">
        <f t="shared" si="3"/>
        <v>0</v>
      </c>
      <c r="J29" s="60">
        <f t="shared" si="3"/>
        <v>0</v>
      </c>
      <c r="N29" s="75"/>
      <c r="O29" s="75"/>
      <c r="P29" s="75"/>
      <c r="Q29" s="75"/>
      <c r="R29" s="75"/>
      <c r="S29" s="75"/>
      <c r="T29" s="75"/>
      <c r="U29" s="75"/>
      <c r="V29" s="31">
        <v>0</v>
      </c>
      <c r="W29" s="31" t="s">
        <v>99</v>
      </c>
      <c r="X29" s="75"/>
      <c r="Y29" s="75"/>
    </row>
    <row r="30" spans="1:25" x14ac:dyDescent="0.3">
      <c r="A30" s="58">
        <v>2341</v>
      </c>
      <c r="B30" s="55" t="s">
        <v>39</v>
      </c>
      <c r="C30" s="60">
        <f t="shared" si="3"/>
        <v>2.4042022218644338E-3</v>
      </c>
      <c r="D30" s="60">
        <f t="shared" si="3"/>
        <v>6.2626791176944125E-3</v>
      </c>
      <c r="E30" s="60">
        <f t="shared" si="3"/>
        <v>1.6539204636934471E-3</v>
      </c>
      <c r="F30" s="60">
        <f t="shared" si="3"/>
        <v>1.0320801803252292E-2</v>
      </c>
      <c r="G30" s="60">
        <f t="shared" si="3"/>
        <v>1.2865078087264529E-2</v>
      </c>
      <c r="H30" s="60">
        <f t="shared" si="3"/>
        <v>2.8263162131701814E-2</v>
      </c>
      <c r="I30" s="60">
        <f t="shared" si="3"/>
        <v>8.4724682015778451E-3</v>
      </c>
      <c r="J30" s="60">
        <f t="shared" si="3"/>
        <v>4.9600708420544183E-2</v>
      </c>
      <c r="N30" s="75"/>
      <c r="O30" s="75"/>
      <c r="P30" s="75"/>
      <c r="Q30" s="75"/>
      <c r="R30" s="75"/>
      <c r="S30" s="75"/>
      <c r="T30" s="75"/>
      <c r="U30" s="75"/>
      <c r="V30" s="31">
        <v>0.06</v>
      </c>
      <c r="W30" s="31" t="s">
        <v>100</v>
      </c>
      <c r="X30" s="75"/>
      <c r="Y30" s="75"/>
    </row>
    <row r="31" spans="1:25" x14ac:dyDescent="0.3">
      <c r="A31" s="58">
        <v>2351</v>
      </c>
      <c r="B31" s="55" t="s">
        <v>40</v>
      </c>
      <c r="C31" s="60">
        <f t="shared" si="3"/>
        <v>0.3582261310578006</v>
      </c>
      <c r="D31" s="60">
        <f t="shared" si="3"/>
        <v>0.93313918853646749</v>
      </c>
      <c r="E31" s="60">
        <f t="shared" si="3"/>
        <v>0.2464341490903236</v>
      </c>
      <c r="F31" s="60">
        <f t="shared" si="3"/>
        <v>1.5377994686845915</v>
      </c>
      <c r="G31" s="60">
        <f t="shared" si="3"/>
        <v>1.9168966350024148</v>
      </c>
      <c r="H31" s="60">
        <f t="shared" si="3"/>
        <v>4.2112111576235707</v>
      </c>
      <c r="I31" s="60">
        <f t="shared" si="3"/>
        <v>1.262397762035099</v>
      </c>
      <c r="J31" s="60">
        <f t="shared" si="3"/>
        <v>7.3905055546610843</v>
      </c>
      <c r="N31" s="75"/>
      <c r="O31" s="75"/>
      <c r="P31" s="75"/>
      <c r="Q31" s="75"/>
      <c r="R31" s="75"/>
      <c r="S31" s="75"/>
      <c r="T31" s="75"/>
      <c r="U31" s="75"/>
      <c r="V31" s="31">
        <v>8.94</v>
      </c>
      <c r="W31" s="31" t="s">
        <v>97</v>
      </c>
      <c r="X31" s="75"/>
      <c r="Y31" s="75"/>
    </row>
    <row r="32" spans="1:25" x14ac:dyDescent="0.3">
      <c r="A32" s="58">
        <v>2352</v>
      </c>
      <c r="B32" s="55" t="s">
        <v>41</v>
      </c>
      <c r="C32" s="60">
        <f t="shared" si="3"/>
        <v>0.17630816293672516</v>
      </c>
      <c r="D32" s="60">
        <f t="shared" si="3"/>
        <v>0.45926313529759027</v>
      </c>
      <c r="E32" s="60">
        <f t="shared" si="3"/>
        <v>0.1212875006708528</v>
      </c>
      <c r="F32" s="60">
        <f t="shared" si="3"/>
        <v>0.75685879890516816</v>
      </c>
      <c r="G32" s="60">
        <f t="shared" si="3"/>
        <v>0.94343905973273223</v>
      </c>
      <c r="H32" s="60">
        <f t="shared" si="3"/>
        <v>2.0726318896581333</v>
      </c>
      <c r="I32" s="60">
        <f t="shared" si="3"/>
        <v>0.62131433478237541</v>
      </c>
      <c r="J32" s="60">
        <f t="shared" si="3"/>
        <v>3.637385284173241</v>
      </c>
      <c r="N32" s="75"/>
      <c r="O32" s="75"/>
      <c r="P32" s="75"/>
      <c r="Q32" s="75"/>
      <c r="R32" s="75"/>
      <c r="S32" s="75"/>
      <c r="T32" s="75"/>
      <c r="U32" s="75"/>
      <c r="V32" s="31">
        <v>4.4000000000000004</v>
      </c>
      <c r="W32" s="31" t="s">
        <v>98</v>
      </c>
      <c r="X32" s="75"/>
      <c r="Y32" s="75"/>
    </row>
    <row r="33" spans="1:25" x14ac:dyDescent="0.3">
      <c r="A33" s="58">
        <v>2362</v>
      </c>
      <c r="B33" s="55" t="s">
        <v>42</v>
      </c>
      <c r="C33" s="60">
        <f t="shared" si="3"/>
        <v>0.52772238769924318</v>
      </c>
      <c r="D33" s="60">
        <f t="shared" si="3"/>
        <v>1.3746580663339236</v>
      </c>
      <c r="E33" s="60">
        <f t="shared" si="3"/>
        <v>0.36303554178071168</v>
      </c>
      <c r="F33" s="60">
        <f t="shared" si="3"/>
        <v>2.2654159958138784</v>
      </c>
      <c r="G33" s="60">
        <f t="shared" si="3"/>
        <v>2.8238846401545645</v>
      </c>
      <c r="H33" s="60">
        <f t="shared" si="3"/>
        <v>6.2037640879085485</v>
      </c>
      <c r="I33" s="60">
        <f t="shared" si="3"/>
        <v>1.8597067702463372</v>
      </c>
      <c r="J33" s="60">
        <f t="shared" si="3"/>
        <v>10.88735549830945</v>
      </c>
      <c r="N33" s="75"/>
      <c r="O33" s="75"/>
      <c r="P33" s="75"/>
      <c r="Q33" s="75"/>
      <c r="R33" s="75"/>
      <c r="S33" s="75"/>
      <c r="T33" s="75"/>
      <c r="U33" s="75"/>
      <c r="V33" s="31">
        <v>13.17</v>
      </c>
      <c r="W33" s="31" t="s">
        <v>101</v>
      </c>
      <c r="X33" s="75"/>
      <c r="Y33" s="75"/>
    </row>
    <row r="34" spans="1:25" x14ac:dyDescent="0.3">
      <c r="A34" s="58" t="s">
        <v>13</v>
      </c>
      <c r="B34" s="55" t="s">
        <v>43</v>
      </c>
      <c r="C34" s="60">
        <f t="shared" si="3"/>
        <v>6.2008382305586851</v>
      </c>
      <c r="D34" s="60">
        <f t="shared" si="3"/>
        <v>16.152493224386841</v>
      </c>
      <c r="E34" s="60">
        <f t="shared" si="3"/>
        <v>4.2657365292760154</v>
      </c>
      <c r="F34" s="60">
        <f t="shared" si="3"/>
        <v>26.619067984221537</v>
      </c>
      <c r="G34" s="60">
        <f t="shared" si="3"/>
        <v>33.181180566736437</v>
      </c>
      <c r="H34" s="60">
        <f t="shared" si="3"/>
        <v>72.895405664680936</v>
      </c>
      <c r="I34" s="60">
        <f t="shared" si="3"/>
        <v>21.85190756990286</v>
      </c>
      <c r="J34" s="60">
        <f t="shared" si="3"/>
        <v>127.92849380132023</v>
      </c>
      <c r="N34" s="75"/>
      <c r="O34" s="75"/>
      <c r="P34" s="75"/>
      <c r="Q34" s="75"/>
      <c r="R34" s="75"/>
      <c r="S34" s="75"/>
      <c r="T34" s="75"/>
      <c r="U34" s="75"/>
      <c r="V34" s="31">
        <v>154.75</v>
      </c>
      <c r="W34" s="31" t="s">
        <v>43</v>
      </c>
      <c r="X34" s="75"/>
      <c r="Y34" s="75"/>
    </row>
    <row r="35" spans="1:25" x14ac:dyDescent="0.3">
      <c r="A35" s="56"/>
      <c r="B35" s="61" t="s">
        <v>44</v>
      </c>
      <c r="C35" s="60">
        <f>SUM(C16:C34)</f>
        <v>22.950514409917883</v>
      </c>
      <c r="D35" s="60">
        <f t="shared" ref="D35:J35" si="4">SUM(D16:D34)</f>
        <v>59.783534857510872</v>
      </c>
      <c r="E35" s="60">
        <f t="shared" si="4"/>
        <v>15.788324746417643</v>
      </c>
      <c r="F35" s="60">
        <f t="shared" si="4"/>
        <v>98.522374013846388</v>
      </c>
      <c r="G35" s="60">
        <f t="shared" si="4"/>
        <v>122.81003542102721</v>
      </c>
      <c r="H35" s="60">
        <f t="shared" si="4"/>
        <v>269.8001457092256</v>
      </c>
      <c r="I35" s="60">
        <f t="shared" si="4"/>
        <v>80.878181452262112</v>
      </c>
      <c r="J35" s="60">
        <f t="shared" si="4"/>
        <v>473.48836258251481</v>
      </c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</row>
    <row r="36" spans="1:25" ht="20.25" customHeight="1" x14ac:dyDescent="0.3">
      <c r="A36" s="55" t="s">
        <v>45</v>
      </c>
      <c r="B36" s="55" t="s">
        <v>45</v>
      </c>
      <c r="C36" s="60">
        <f>C14+C35</f>
        <v>188.49826960231843</v>
      </c>
      <c r="D36" s="60">
        <f t="shared" ref="D36:J36" si="5">D14+D35</f>
        <v>491.0170059840068</v>
      </c>
      <c r="E36" s="60">
        <f t="shared" si="5"/>
        <v>129.67342872859979</v>
      </c>
      <c r="F36" s="60">
        <f t="shared" si="5"/>
        <v>809.18870431492496</v>
      </c>
      <c r="G36" s="60">
        <f t="shared" si="5"/>
        <v>1008.6692939945259</v>
      </c>
      <c r="H36" s="60">
        <f t="shared" si="5"/>
        <v>2215.9355427199052</v>
      </c>
      <c r="I36" s="60">
        <f t="shared" si="5"/>
        <v>664.27257272044221</v>
      </c>
      <c r="J36" s="60">
        <f t="shared" si="5"/>
        <v>3888.8774094348737</v>
      </c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</row>
    <row r="37" spans="1:25" ht="53.25" customHeight="1" x14ac:dyDescent="0.3">
      <c r="A37" s="55" t="s">
        <v>46</v>
      </c>
      <c r="B37" s="55" t="s">
        <v>46</v>
      </c>
      <c r="C37" s="62">
        <v>181</v>
      </c>
      <c r="D37" s="62">
        <v>181</v>
      </c>
      <c r="E37" s="62">
        <v>181</v>
      </c>
      <c r="F37" s="62" t="s">
        <v>47</v>
      </c>
      <c r="G37" s="62">
        <v>700</v>
      </c>
      <c r="H37" s="62">
        <v>700</v>
      </c>
      <c r="I37" s="62">
        <v>700</v>
      </c>
      <c r="J37" s="62" t="s">
        <v>47</v>
      </c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</row>
    <row r="38" spans="1:25" ht="108.75" customHeight="1" x14ac:dyDescent="0.3">
      <c r="A38" s="55" t="s">
        <v>127</v>
      </c>
      <c r="B38" s="55" t="s">
        <v>122</v>
      </c>
      <c r="C38" s="60">
        <f>C14/C37</f>
        <v>0.91462848172596989</v>
      </c>
      <c r="D38" s="60">
        <f t="shared" ref="D38:E38" si="6">D14/D37</f>
        <v>2.3825053653397568</v>
      </c>
      <c r="E38" s="60">
        <f t="shared" si="6"/>
        <v>0.62919946951481853</v>
      </c>
      <c r="F38" s="60">
        <f>SUM(C38:E38)</f>
        <v>3.926333316580545</v>
      </c>
      <c r="G38" s="60">
        <f>G14/G37</f>
        <v>1.2655132265335696</v>
      </c>
      <c r="H38" s="63">
        <f t="shared" ref="H38:I38" si="7">H14/H37</f>
        <v>2.7801934243009709</v>
      </c>
      <c r="I38" s="60">
        <f t="shared" si="7"/>
        <v>0.83342055895454303</v>
      </c>
      <c r="J38" s="60">
        <f>SUM(G38:I38)</f>
        <v>4.8791272097890843</v>
      </c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</row>
    <row r="39" spans="1:25" ht="96.75" customHeight="1" x14ac:dyDescent="0.3">
      <c r="A39" s="55" t="s">
        <v>125</v>
      </c>
      <c r="B39" s="55" t="s">
        <v>125</v>
      </c>
      <c r="C39" s="59">
        <f>C9/C37</f>
        <v>0.32999999999999996</v>
      </c>
      <c r="D39" s="59">
        <f>D9/D37</f>
        <v>0.85961325966850832</v>
      </c>
      <c r="E39" s="59">
        <f>E9/E37</f>
        <v>0.22701657458563537</v>
      </c>
      <c r="F39" s="59">
        <f>SUM(C39:E39)</f>
        <v>1.4166298342541437</v>
      </c>
      <c r="G39" s="59">
        <f>G9/G37</f>
        <v>0.45660000000000001</v>
      </c>
      <c r="H39" s="59">
        <f>H9/H37</f>
        <v>1.0030999999999999</v>
      </c>
      <c r="I39" s="59">
        <f>I9/I37</f>
        <v>0.30070000000000002</v>
      </c>
      <c r="J39" s="59">
        <f>G39+H39+I39</f>
        <v>1.7603999999999997</v>
      </c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</row>
  </sheetData>
  <mergeCells count="4">
    <mergeCell ref="C6:F6"/>
    <mergeCell ref="G6:J6"/>
    <mergeCell ref="D1:J1"/>
    <mergeCell ref="A6:B6"/>
  </mergeCells>
  <pageMargins left="0.7" right="0.7" top="0.75" bottom="0.75" header="0.3" footer="0.3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83EF-874C-469F-B271-6DC163AD990E}">
  <dimension ref="A1:BX39"/>
  <sheetViews>
    <sheetView zoomScale="98" zoomScaleNormal="98" workbookViewId="0">
      <selection activeCell="F1" sqref="F1:N1"/>
    </sheetView>
  </sheetViews>
  <sheetFormatPr defaultColWidth="9.109375" defaultRowHeight="15.6" x14ac:dyDescent="0.3"/>
  <cols>
    <col min="1" max="1" width="10.6640625" style="76" customWidth="1"/>
    <col min="2" max="2" width="43" style="79" customWidth="1"/>
    <col min="3" max="10" width="10.6640625" style="76" customWidth="1"/>
    <col min="11" max="14" width="9.109375" style="76"/>
    <col min="15" max="17" width="9.109375" style="73" hidden="1" customWidth="1"/>
    <col min="18" max="18" width="26.6640625" style="73" hidden="1" customWidth="1"/>
    <col min="19" max="23" width="0" style="75" hidden="1" customWidth="1"/>
    <col min="24" max="76" width="9.109375" style="75"/>
    <col min="77" max="16384" width="9.109375" style="76"/>
  </cols>
  <sheetData>
    <row r="1" spans="1:76" s="70" customFormat="1" ht="66.75" customHeight="1" x14ac:dyDescent="0.3">
      <c r="A1" s="66"/>
      <c r="B1" s="66"/>
      <c r="C1" s="66"/>
      <c r="D1" s="66"/>
      <c r="E1" s="66"/>
      <c r="F1" s="14" t="s">
        <v>139</v>
      </c>
      <c r="G1" s="14"/>
      <c r="H1" s="14"/>
      <c r="I1" s="14"/>
      <c r="J1" s="14"/>
      <c r="K1" s="14"/>
      <c r="L1" s="14"/>
      <c r="M1" s="14"/>
      <c r="N1" s="14"/>
      <c r="O1" s="68"/>
      <c r="P1" s="68"/>
      <c r="Q1" s="68"/>
      <c r="R1" s="68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</row>
    <row r="2" spans="1:76" s="70" customFormat="1" x14ac:dyDescent="0.3">
      <c r="A2" s="65"/>
      <c r="B2" s="65"/>
      <c r="C2" s="71"/>
      <c r="D2" s="71"/>
      <c r="E2" s="71"/>
      <c r="F2" s="66"/>
      <c r="G2" s="66"/>
      <c r="H2" s="66"/>
      <c r="I2" s="66"/>
      <c r="J2" s="66"/>
      <c r="K2" s="66"/>
      <c r="L2" s="66"/>
      <c r="O2" s="68"/>
      <c r="P2" s="68"/>
      <c r="Q2" s="68"/>
      <c r="R2" s="68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</row>
    <row r="3" spans="1:76" s="70" customFormat="1" x14ac:dyDescent="0.3">
      <c r="A3" s="64" t="s">
        <v>14</v>
      </c>
      <c r="B3" s="65"/>
      <c r="C3" s="71"/>
      <c r="D3" s="71"/>
      <c r="E3" s="71"/>
      <c r="F3" s="71"/>
      <c r="G3" s="71"/>
      <c r="H3" s="71"/>
      <c r="I3" s="71"/>
      <c r="J3" s="71"/>
      <c r="O3" s="68"/>
      <c r="P3" s="68"/>
      <c r="Q3" s="68"/>
      <c r="R3" s="68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</row>
    <row r="4" spans="1:76" s="70" customFormat="1" x14ac:dyDescent="0.3">
      <c r="A4" s="16" t="s">
        <v>126</v>
      </c>
      <c r="B4" s="66"/>
      <c r="C4" s="65"/>
      <c r="D4" s="71"/>
      <c r="E4" s="71"/>
      <c r="F4" s="71"/>
      <c r="G4" s="71"/>
      <c r="H4" s="71"/>
      <c r="I4" s="71"/>
      <c r="J4" s="71"/>
      <c r="O4" s="68"/>
      <c r="P4" s="68"/>
      <c r="Q4" s="68"/>
      <c r="R4" s="68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</row>
    <row r="6" spans="1:76" ht="46.8" x14ac:dyDescent="0.3">
      <c r="A6" s="9" t="s">
        <v>8</v>
      </c>
      <c r="B6" s="8"/>
      <c r="C6" s="11" t="s">
        <v>48</v>
      </c>
      <c r="D6" s="11"/>
      <c r="E6" s="11"/>
      <c r="F6" s="11"/>
      <c r="G6" s="11" t="s">
        <v>62</v>
      </c>
      <c r="H6" s="11"/>
      <c r="I6" s="11"/>
      <c r="J6" s="11"/>
      <c r="K6" s="11" t="s">
        <v>63</v>
      </c>
      <c r="L6" s="11"/>
      <c r="M6" s="11"/>
      <c r="N6" s="11"/>
      <c r="P6" s="74" t="s">
        <v>79</v>
      </c>
      <c r="Q6" s="74" t="s">
        <v>80</v>
      </c>
    </row>
    <row r="7" spans="1:76" ht="31.2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</row>
    <row r="8" spans="1:76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76" x14ac:dyDescent="0.3">
      <c r="A9" s="58">
        <v>2363</v>
      </c>
      <c r="B9" s="55" t="s">
        <v>18</v>
      </c>
      <c r="C9" s="59">
        <v>51.18</v>
      </c>
      <c r="D9" s="59">
        <v>94</v>
      </c>
      <c r="E9" s="59">
        <v>45.66</v>
      </c>
      <c r="F9" s="59">
        <f>C9+D9+E9</f>
        <v>190.84</v>
      </c>
      <c r="G9" s="59">
        <v>1.61</v>
      </c>
      <c r="H9" s="59">
        <v>1.7</v>
      </c>
      <c r="I9" s="59">
        <v>0.87</v>
      </c>
      <c r="J9" s="59">
        <f>SUM(G9:I9)</f>
        <v>4.18</v>
      </c>
      <c r="K9" s="59">
        <v>300.7</v>
      </c>
      <c r="L9" s="59">
        <v>800.88</v>
      </c>
      <c r="M9" s="59">
        <v>248.53</v>
      </c>
      <c r="N9" s="59">
        <f>SUM(K9:M9)</f>
        <v>1350.11</v>
      </c>
      <c r="P9" s="77">
        <v>1546.41</v>
      </c>
      <c r="U9" s="75">
        <v>1546.41</v>
      </c>
    </row>
    <row r="10" spans="1:76" x14ac:dyDescent="0.3">
      <c r="A10" s="58">
        <v>1100</v>
      </c>
      <c r="B10" s="55" t="s">
        <v>19</v>
      </c>
      <c r="C10" s="60">
        <f>Q10/P9*C9</f>
        <v>32.334801249345254</v>
      </c>
      <c r="D10" s="60">
        <f>Q10/P9*D9</f>
        <v>59.387872556437159</v>
      </c>
      <c r="E10" s="60">
        <f>Q10/P9*E9</f>
        <v>28.847343201350217</v>
      </c>
      <c r="F10" s="60">
        <f>SUM(C10:E10)</f>
        <v>120.57001700713263</v>
      </c>
      <c r="G10" s="60">
        <f>Q10/P9*G9</f>
        <v>1.0171752639985514</v>
      </c>
      <c r="H10" s="60">
        <f>Q10/P9*H9</f>
        <v>1.0740359930419485</v>
      </c>
      <c r="I10" s="60">
        <f>Q10/P9*I9</f>
        <v>0.54965371408617369</v>
      </c>
      <c r="J10" s="60">
        <f>SUM(G10:I10)</f>
        <v>2.6408649711266738</v>
      </c>
      <c r="K10" s="59">
        <f>Q10/P9*K9</f>
        <v>189.9780135927729</v>
      </c>
      <c r="L10" s="59">
        <f>Q10/P9*L9</f>
        <v>505.98467418084459</v>
      </c>
      <c r="M10" s="59">
        <f>Q10/P9*M9</f>
        <v>157.0177443239503</v>
      </c>
      <c r="N10" s="59">
        <f>SUM(K10:M10)</f>
        <v>852.98043209756781</v>
      </c>
      <c r="Q10" s="73">
        <v>977</v>
      </c>
    </row>
    <row r="11" spans="1:76" ht="46.8" x14ac:dyDescent="0.3">
      <c r="A11" s="58">
        <v>1200</v>
      </c>
      <c r="B11" s="55" t="s">
        <v>20</v>
      </c>
      <c r="C11" s="60">
        <f>Q11/P9*C9</f>
        <v>7.6277796147205459</v>
      </c>
      <c r="D11" s="60">
        <f>Q11/P9*D9</f>
        <v>14.009599136063526</v>
      </c>
      <c r="E11" s="60">
        <f>Q11/P9*E9</f>
        <v>6.8050882611985166</v>
      </c>
      <c r="F11" s="60">
        <f>SUM(C11:E11)</f>
        <v>28.44246701198259</v>
      </c>
      <c r="G11" s="60">
        <f>Q11/P9*G9</f>
        <v>0.2399516447772583</v>
      </c>
      <c r="H11" s="60">
        <f>Q11/P9*H9</f>
        <v>0.2533650907585957</v>
      </c>
      <c r="I11" s="60">
        <f>Q11/P9*I9</f>
        <v>0.1296633111529284</v>
      </c>
      <c r="J11" s="60">
        <f>SUM(G11:I11)</f>
        <v>0.62298004668878237</v>
      </c>
      <c r="K11" s="59">
        <f>Q11/P9*K9</f>
        <v>44.815813406535135</v>
      </c>
      <c r="L11" s="59">
        <f>Q11/P9*L9</f>
        <v>119.36178463926124</v>
      </c>
      <c r="M11" s="59">
        <f>Q11/P9*M9</f>
        <v>37.040485886019873</v>
      </c>
      <c r="N11" s="59">
        <f>SUM(K11:M11)</f>
        <v>201.21808393181624</v>
      </c>
      <c r="Q11" s="73">
        <f>Q10*0.2359</f>
        <v>230.4743</v>
      </c>
    </row>
    <row r="12" spans="1:76" x14ac:dyDescent="0.3">
      <c r="A12" s="58">
        <v>2222</v>
      </c>
      <c r="B12" s="55" t="s">
        <v>21</v>
      </c>
      <c r="C12" s="60">
        <f>Q12/P9*C9</f>
        <v>4.3110861931829199</v>
      </c>
      <c r="D12" s="60">
        <f>Q12/P9*D9</f>
        <v>7.9179777678623386</v>
      </c>
      <c r="E12" s="60">
        <f>Q12/P9*E9</f>
        <v>3.8461155838361103</v>
      </c>
      <c r="F12" s="60">
        <f>SUM(C12:E12)</f>
        <v>16.075179544881369</v>
      </c>
      <c r="G12" s="60">
        <f>Q12/P9*G9</f>
        <v>0.13561642772615284</v>
      </c>
      <c r="H12" s="60">
        <f>Q12/P9*H9</f>
        <v>0.1431974702698508</v>
      </c>
      <c r="I12" s="60">
        <f>Q12/P9*I9</f>
        <v>7.328341125574718E-2</v>
      </c>
      <c r="J12" s="60">
        <f>SUM(G12:I12)</f>
        <v>0.35209730925175081</v>
      </c>
      <c r="K12" s="59">
        <f>Q12/P9*K9</f>
        <v>25.329105476555373</v>
      </c>
      <c r="L12" s="59">
        <f>Q12/P9*L9</f>
        <v>67.461170582187123</v>
      </c>
      <c r="M12" s="59">
        <f>Q12/P9*M9</f>
        <v>20.934627815391778</v>
      </c>
      <c r="N12" s="59">
        <f>SUM(K12:M12)</f>
        <v>113.72490387413427</v>
      </c>
      <c r="Q12" s="73">
        <f>1002*0.13</f>
        <v>130.26</v>
      </c>
      <c r="R12" s="68"/>
    </row>
    <row r="13" spans="1:76" x14ac:dyDescent="0.3">
      <c r="A13" s="58">
        <v>2223</v>
      </c>
      <c r="B13" s="55" t="s">
        <v>22</v>
      </c>
      <c r="C13" s="60">
        <f>Q13/P9*C9</f>
        <v>14.6241337032223</v>
      </c>
      <c r="D13" s="60">
        <f>Q13/P9*D9</f>
        <v>26.85948745804799</v>
      </c>
      <c r="E13" s="60">
        <f>Q13/P9*E9</f>
        <v>13.046853163132672</v>
      </c>
      <c r="F13" s="60">
        <f>SUM(C13:E13)</f>
        <v>54.530474324402967</v>
      </c>
      <c r="G13" s="60">
        <f>Q13/P9*G9</f>
        <v>0.46004015752614114</v>
      </c>
      <c r="H13" s="60">
        <f>Q13/P9*H9</f>
        <v>0.48575668807108069</v>
      </c>
      <c r="I13" s="60">
        <f>Q13/P9*I9</f>
        <v>0.24859312860108249</v>
      </c>
      <c r="J13" s="60">
        <f>SUM(G13:I13)</f>
        <v>1.1943899741983044</v>
      </c>
      <c r="K13" s="59">
        <f>Q13/P9*K9</f>
        <v>85.921785942925865</v>
      </c>
      <c r="L13" s="59">
        <f>Q13/P9*L9</f>
        <v>228.84283314256888</v>
      </c>
      <c r="M13" s="59">
        <f>Q13/P9*M9</f>
        <v>71.014770403709221</v>
      </c>
      <c r="N13" s="59">
        <f>SUM(K13:M13)</f>
        <v>385.77938948920399</v>
      </c>
      <c r="Q13" s="73">
        <f>3399*0.13</f>
        <v>441.87</v>
      </c>
      <c r="R13" s="68"/>
    </row>
    <row r="14" spans="1:76" x14ac:dyDescent="0.3">
      <c r="A14" s="56"/>
      <c r="B14" s="61" t="s">
        <v>23</v>
      </c>
      <c r="C14" s="60">
        <f t="shared" ref="C14:N14" si="0">SUM(C9:C13)</f>
        <v>110.07780076047102</v>
      </c>
      <c r="D14" s="60">
        <f t="shared" si="0"/>
        <v>202.17493691841102</v>
      </c>
      <c r="E14" s="60">
        <f t="shared" si="0"/>
        <v>98.205400209517506</v>
      </c>
      <c r="F14" s="60">
        <f t="shared" si="0"/>
        <v>410.45813788839962</v>
      </c>
      <c r="G14" s="60">
        <f t="shared" si="0"/>
        <v>3.4627834940281037</v>
      </c>
      <c r="H14" s="60">
        <f t="shared" si="0"/>
        <v>3.6563552421414762</v>
      </c>
      <c r="I14" s="60">
        <f t="shared" si="0"/>
        <v>1.8711935650959317</v>
      </c>
      <c r="J14" s="60">
        <f t="shared" si="0"/>
        <v>8.9903323012655108</v>
      </c>
      <c r="K14" s="60">
        <f t="shared" si="0"/>
        <v>646.74471841878926</v>
      </c>
      <c r="L14" s="60">
        <f t="shared" si="0"/>
        <v>1722.5304625448618</v>
      </c>
      <c r="M14" s="60">
        <f t="shared" si="0"/>
        <v>534.53762842907111</v>
      </c>
      <c r="N14" s="60">
        <f t="shared" si="0"/>
        <v>2903.8128093927221</v>
      </c>
      <c r="Q14" s="73">
        <f>SUM(Q10:Q13)</f>
        <v>1779.6043</v>
      </c>
    </row>
    <row r="15" spans="1:76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</row>
    <row r="16" spans="1:76" x14ac:dyDescent="0.3">
      <c r="A16" s="58">
        <v>1100</v>
      </c>
      <c r="B16" s="55" t="s">
        <v>25</v>
      </c>
      <c r="C16" s="60">
        <f t="shared" ref="C16:N25" si="1">$V16/$U$9*C$9</f>
        <v>50.431699225949124</v>
      </c>
      <c r="D16" s="60">
        <f t="shared" si="1"/>
        <v>92.625629684236387</v>
      </c>
      <c r="E16" s="60">
        <f t="shared" si="1"/>
        <v>44.992406929598225</v>
      </c>
      <c r="F16" s="60">
        <f t="shared" si="1"/>
        <v>188.04973583978372</v>
      </c>
      <c r="G16" s="60">
        <f t="shared" si="1"/>
        <v>1.5864602531023466</v>
      </c>
      <c r="H16" s="60">
        <f t="shared" si="1"/>
        <v>1.6751443666298069</v>
      </c>
      <c r="I16" s="60">
        <f t="shared" si="1"/>
        <v>0.85727976409878348</v>
      </c>
      <c r="J16" s="60">
        <f t="shared" si="1"/>
        <v>4.1188843838309364</v>
      </c>
      <c r="K16" s="60">
        <f t="shared" si="1"/>
        <v>296.30347708563698</v>
      </c>
      <c r="L16" s="60">
        <f t="shared" si="1"/>
        <v>789.17036490969394</v>
      </c>
      <c r="M16" s="60">
        <f t="shared" si="1"/>
        <v>244.89625261088582</v>
      </c>
      <c r="N16" s="60">
        <f t="shared" si="1"/>
        <v>1330.3700946062168</v>
      </c>
      <c r="V16" s="69">
        <v>1523.8</v>
      </c>
      <c r="W16" s="69"/>
    </row>
    <row r="17" spans="1:23" ht="46.8" x14ac:dyDescent="0.3">
      <c r="A17" s="58">
        <v>1200</v>
      </c>
      <c r="B17" s="55" t="s">
        <v>26</v>
      </c>
      <c r="C17" s="60">
        <f t="shared" si="1"/>
        <v>11.896837847401398</v>
      </c>
      <c r="D17" s="60">
        <f t="shared" si="1"/>
        <v>21.85038604251136</v>
      </c>
      <c r="E17" s="60">
        <f t="shared" si="1"/>
        <v>10.61370879469222</v>
      </c>
      <c r="F17" s="60">
        <f t="shared" si="1"/>
        <v>44.360932684604983</v>
      </c>
      <c r="G17" s="60">
        <f t="shared" si="1"/>
        <v>0.37424597370684354</v>
      </c>
      <c r="H17" s="60">
        <f t="shared" si="1"/>
        <v>0.39516655608797141</v>
      </c>
      <c r="I17" s="60">
        <f t="shared" si="1"/>
        <v>0.20223229635090301</v>
      </c>
      <c r="J17" s="60">
        <f t="shared" si="1"/>
        <v>0.9716448261457179</v>
      </c>
      <c r="K17" s="60">
        <f t="shared" si="1"/>
        <v>69.89799024450177</v>
      </c>
      <c r="L17" s="60">
        <f t="shared" si="1"/>
        <v>186.16528908219678</v>
      </c>
      <c r="M17" s="60">
        <f t="shared" si="1"/>
        <v>57.771025990907965</v>
      </c>
      <c r="N17" s="60">
        <f t="shared" si="1"/>
        <v>313.83430531760649</v>
      </c>
      <c r="V17" s="69">
        <f>V16*0.2359</f>
        <v>359.46441999999996</v>
      </c>
      <c r="W17" s="69"/>
    </row>
    <row r="18" spans="1:23" x14ac:dyDescent="0.3">
      <c r="A18" s="58">
        <v>2210</v>
      </c>
      <c r="B18" s="55" t="s">
        <v>27</v>
      </c>
      <c r="C18" s="60">
        <f t="shared" si="1"/>
        <v>6.8177779502201871E-2</v>
      </c>
      <c r="D18" s="60">
        <f t="shared" si="1"/>
        <v>0.1252190557484755</v>
      </c>
      <c r="E18" s="60">
        <f t="shared" si="1"/>
        <v>6.0824490271014796E-2</v>
      </c>
      <c r="F18" s="60">
        <f t="shared" si="1"/>
        <v>0.25422132552169219</v>
      </c>
      <c r="G18" s="60">
        <f t="shared" si="1"/>
        <v>2.1447093590962296E-3</v>
      </c>
      <c r="H18" s="60">
        <f t="shared" si="1"/>
        <v>2.2645999443873226E-3</v>
      </c>
      <c r="I18" s="60">
        <f t="shared" si="1"/>
        <v>1.1589423244805711E-3</v>
      </c>
      <c r="J18" s="60">
        <f t="shared" si="1"/>
        <v>5.5682516279641232E-3</v>
      </c>
      <c r="K18" s="60">
        <f t="shared" si="1"/>
        <v>0.40056776663368704</v>
      </c>
      <c r="L18" s="60">
        <f t="shared" si="1"/>
        <v>1.0668663549770112</v>
      </c>
      <c r="M18" s="60">
        <f t="shared" si="1"/>
        <v>0.33107119069328317</v>
      </c>
      <c r="N18" s="60">
        <f t="shared" si="1"/>
        <v>1.7985053123039814</v>
      </c>
      <c r="V18" s="31">
        <v>2.06</v>
      </c>
      <c r="W18" s="31" t="s">
        <v>108</v>
      </c>
    </row>
    <row r="19" spans="1:23" x14ac:dyDescent="0.3">
      <c r="A19" s="58">
        <v>2221</v>
      </c>
      <c r="B19" s="55" t="s">
        <v>28</v>
      </c>
      <c r="C19" s="60">
        <f t="shared" si="1"/>
        <v>0</v>
      </c>
      <c r="D19" s="60">
        <f t="shared" si="1"/>
        <v>0</v>
      </c>
      <c r="E19" s="60">
        <f t="shared" si="1"/>
        <v>0</v>
      </c>
      <c r="F19" s="60">
        <f t="shared" si="1"/>
        <v>0</v>
      </c>
      <c r="G19" s="60">
        <f t="shared" si="1"/>
        <v>0</v>
      </c>
      <c r="H19" s="60">
        <f t="shared" si="1"/>
        <v>0</v>
      </c>
      <c r="I19" s="60">
        <f t="shared" si="1"/>
        <v>0</v>
      </c>
      <c r="J19" s="60">
        <f t="shared" si="1"/>
        <v>0</v>
      </c>
      <c r="K19" s="60">
        <f t="shared" si="1"/>
        <v>0</v>
      </c>
      <c r="L19" s="60">
        <f t="shared" si="1"/>
        <v>0</v>
      </c>
      <c r="M19" s="60">
        <f t="shared" si="1"/>
        <v>0</v>
      </c>
      <c r="N19" s="60">
        <f t="shared" si="1"/>
        <v>0</v>
      </c>
      <c r="V19" s="31">
        <v>0</v>
      </c>
      <c r="W19" s="31" t="s">
        <v>89</v>
      </c>
    </row>
    <row r="20" spans="1:23" x14ac:dyDescent="0.3">
      <c r="A20" s="58">
        <v>2224</v>
      </c>
      <c r="B20" s="55" t="s">
        <v>29</v>
      </c>
      <c r="C20" s="60">
        <f t="shared" si="1"/>
        <v>0.17871845112227677</v>
      </c>
      <c r="D20" s="60">
        <f t="shared" si="1"/>
        <v>0.32824412671930475</v>
      </c>
      <c r="E20" s="60">
        <f t="shared" si="1"/>
        <v>0.15944283857450481</v>
      </c>
      <c r="F20" s="60">
        <f t="shared" si="1"/>
        <v>0.6664054164160863</v>
      </c>
      <c r="G20" s="60">
        <f t="shared" si="1"/>
        <v>5.6220536597668151E-3</v>
      </c>
      <c r="H20" s="60">
        <f t="shared" si="1"/>
        <v>5.9363299513065749E-3</v>
      </c>
      <c r="I20" s="60">
        <f t="shared" si="1"/>
        <v>3.0380041515510117E-3</v>
      </c>
      <c r="J20" s="60">
        <f t="shared" si="1"/>
        <v>1.45963877626244E-2</v>
      </c>
      <c r="K20" s="60">
        <f t="shared" si="1"/>
        <v>1.0500320096222864</v>
      </c>
      <c r="L20" s="60">
        <f t="shared" si="1"/>
        <v>2.7966399596484761</v>
      </c>
      <c r="M20" s="60">
        <f t="shared" si="1"/>
        <v>0.86785651929307239</v>
      </c>
      <c r="N20" s="60">
        <f t="shared" si="1"/>
        <v>4.7145284885638352</v>
      </c>
      <c r="V20" s="31">
        <v>5.4</v>
      </c>
      <c r="W20" s="31" t="s">
        <v>90</v>
      </c>
    </row>
    <row r="21" spans="1:23" x14ac:dyDescent="0.3">
      <c r="A21" s="58">
        <v>2234</v>
      </c>
      <c r="B21" s="55" t="s">
        <v>30</v>
      </c>
      <c r="C21" s="60">
        <f t="shared" si="1"/>
        <v>1.9857605680252972</v>
      </c>
      <c r="D21" s="60">
        <f t="shared" si="1"/>
        <v>3.6471569635478303</v>
      </c>
      <c r="E21" s="60">
        <f t="shared" si="1"/>
        <v>1.7715870952722756</v>
      </c>
      <c r="F21" s="60">
        <f t="shared" si="1"/>
        <v>7.4045046268454033</v>
      </c>
      <c r="G21" s="60">
        <f t="shared" si="1"/>
        <v>6.2467262886297947E-2</v>
      </c>
      <c r="H21" s="60">
        <f t="shared" si="1"/>
        <v>6.5959221681184163E-2</v>
      </c>
      <c r="I21" s="60">
        <f t="shared" si="1"/>
        <v>3.3755601683900127E-2</v>
      </c>
      <c r="J21" s="60">
        <f t="shared" si="1"/>
        <v>0.16218208625138222</v>
      </c>
      <c r="K21" s="60">
        <f t="shared" si="1"/>
        <v>11.667022329136516</v>
      </c>
      <c r="L21" s="60">
        <f t="shared" si="1"/>
        <v>31.073777329427511</v>
      </c>
      <c r="M21" s="60">
        <f t="shared" si="1"/>
        <v>9.6428502143674706</v>
      </c>
      <c r="N21" s="60">
        <f t="shared" si="1"/>
        <v>52.383649872931493</v>
      </c>
      <c r="V21" s="31">
        <f>2*30</f>
        <v>60</v>
      </c>
      <c r="W21" s="31" t="s">
        <v>91</v>
      </c>
    </row>
    <row r="22" spans="1:23" x14ac:dyDescent="0.3">
      <c r="A22" s="58">
        <v>2235</v>
      </c>
      <c r="B22" s="55" t="s">
        <v>31</v>
      </c>
      <c r="C22" s="60">
        <f t="shared" si="1"/>
        <v>1.3238403786835315</v>
      </c>
      <c r="D22" s="60">
        <f t="shared" si="1"/>
        <v>2.4314379756985534</v>
      </c>
      <c r="E22" s="60">
        <f t="shared" si="1"/>
        <v>1.1810580635148504</v>
      </c>
      <c r="F22" s="60">
        <f t="shared" si="1"/>
        <v>4.9363364178969356</v>
      </c>
      <c r="G22" s="60">
        <f t="shared" si="1"/>
        <v>4.1644841924198629E-2</v>
      </c>
      <c r="H22" s="60">
        <f t="shared" si="1"/>
        <v>4.3972814454122773E-2</v>
      </c>
      <c r="I22" s="60">
        <f t="shared" si="1"/>
        <v>2.250373445593342E-2</v>
      </c>
      <c r="J22" s="60">
        <f t="shared" si="1"/>
        <v>0.10812139083425482</v>
      </c>
      <c r="K22" s="60">
        <f t="shared" si="1"/>
        <v>7.7780148860910101</v>
      </c>
      <c r="L22" s="60">
        <f t="shared" si="1"/>
        <v>20.715851552951676</v>
      </c>
      <c r="M22" s="60">
        <f t="shared" si="1"/>
        <v>6.4285668095783137</v>
      </c>
      <c r="N22" s="60">
        <f t="shared" si="1"/>
        <v>34.922433248620997</v>
      </c>
      <c r="V22" s="31">
        <f>2*20</f>
        <v>40</v>
      </c>
      <c r="W22" s="31" t="s">
        <v>92</v>
      </c>
    </row>
    <row r="23" spans="1:23" x14ac:dyDescent="0.3">
      <c r="A23" s="58">
        <v>2243</v>
      </c>
      <c r="B23" s="55" t="s">
        <v>32</v>
      </c>
      <c r="C23" s="60">
        <f t="shared" si="1"/>
        <v>2.2200803150522823</v>
      </c>
      <c r="D23" s="60">
        <f t="shared" si="1"/>
        <v>4.0775214852464732</v>
      </c>
      <c r="E23" s="60">
        <f t="shared" si="1"/>
        <v>1.980634372514404</v>
      </c>
      <c r="F23" s="60">
        <f t="shared" si="1"/>
        <v>8.2782361728131608</v>
      </c>
      <c r="G23" s="60">
        <f t="shared" si="1"/>
        <v>6.9838399906881093E-2</v>
      </c>
      <c r="H23" s="60">
        <f t="shared" si="1"/>
        <v>7.3742409839563886E-2</v>
      </c>
      <c r="I23" s="60">
        <f t="shared" si="1"/>
        <v>3.7738762682600339E-2</v>
      </c>
      <c r="J23" s="60">
        <f t="shared" si="1"/>
        <v>0.18131957242904531</v>
      </c>
      <c r="K23" s="60">
        <f t="shared" si="1"/>
        <v>13.043730963974623</v>
      </c>
      <c r="L23" s="60">
        <f t="shared" si="1"/>
        <v>34.740483054299958</v>
      </c>
      <c r="M23" s="60">
        <f t="shared" si="1"/>
        <v>10.78070653966283</v>
      </c>
      <c r="N23" s="60">
        <f t="shared" si="1"/>
        <v>58.564920557937405</v>
      </c>
      <c r="V23" s="31">
        <v>67.08</v>
      </c>
      <c r="W23" s="31" t="s">
        <v>93</v>
      </c>
    </row>
    <row r="24" spans="1:23" x14ac:dyDescent="0.3">
      <c r="A24" s="58">
        <v>2244</v>
      </c>
      <c r="B24" s="55" t="s">
        <v>33</v>
      </c>
      <c r="C24" s="60">
        <f t="shared" si="1"/>
        <v>0.45970357149785629</v>
      </c>
      <c r="D24" s="60">
        <f t="shared" si="1"/>
        <v>0.84431683706132254</v>
      </c>
      <c r="E24" s="60">
        <f t="shared" si="1"/>
        <v>0.41012241255553178</v>
      </c>
      <c r="F24" s="60">
        <f t="shared" si="1"/>
        <v>1.7141428211147107</v>
      </c>
      <c r="G24" s="60">
        <f t="shared" si="1"/>
        <v>1.4461171358177973E-2</v>
      </c>
      <c r="H24" s="60">
        <f t="shared" si="1"/>
        <v>1.5269559819194131E-2</v>
      </c>
      <c r="I24" s="60">
        <f t="shared" si="1"/>
        <v>7.8144217898228792E-3</v>
      </c>
      <c r="J24" s="60">
        <f t="shared" si="1"/>
        <v>3.7545152967194982E-2</v>
      </c>
      <c r="K24" s="60">
        <f t="shared" si="1"/>
        <v>2.7009156691951031</v>
      </c>
      <c r="L24" s="60">
        <f t="shared" si="1"/>
        <v>7.193579451762468</v>
      </c>
      <c r="M24" s="60">
        <f t="shared" si="1"/>
        <v>2.2323198246260691</v>
      </c>
      <c r="N24" s="60">
        <f t="shared" si="1"/>
        <v>12.126814945583639</v>
      </c>
      <c r="V24" s="31">
        <v>13.89</v>
      </c>
      <c r="W24" s="31" t="s">
        <v>94</v>
      </c>
    </row>
    <row r="25" spans="1:23" x14ac:dyDescent="0.3">
      <c r="A25" s="58">
        <v>2247</v>
      </c>
      <c r="B25" s="55" t="s">
        <v>34</v>
      </c>
      <c r="C25" s="60">
        <f t="shared" si="1"/>
        <v>6.2882417987467736E-3</v>
      </c>
      <c r="D25" s="60">
        <f t="shared" si="1"/>
        <v>1.1549330384568127E-2</v>
      </c>
      <c r="E25" s="60">
        <f t="shared" si="1"/>
        <v>5.6100258016955383E-3</v>
      </c>
      <c r="F25" s="60">
        <f t="shared" si="1"/>
        <v>2.3447597985010442E-2</v>
      </c>
      <c r="G25" s="60">
        <f t="shared" si="1"/>
        <v>1.9781299913994345E-4</v>
      </c>
      <c r="H25" s="60">
        <f t="shared" si="1"/>
        <v>2.0887086865708314E-4</v>
      </c>
      <c r="I25" s="60">
        <f t="shared" si="1"/>
        <v>1.0689273866568373E-4</v>
      </c>
      <c r="J25" s="60">
        <f t="shared" si="1"/>
        <v>5.1357660646271031E-4</v>
      </c>
      <c r="K25" s="60">
        <f t="shared" si="1"/>
        <v>3.6945570708932292E-2</v>
      </c>
      <c r="L25" s="60">
        <f t="shared" si="1"/>
        <v>9.8400294876520439E-2</v>
      </c>
      <c r="M25" s="60">
        <f t="shared" si="1"/>
        <v>3.0535692345496985E-2</v>
      </c>
      <c r="N25" s="60">
        <f t="shared" si="1"/>
        <v>0.16588155793094972</v>
      </c>
      <c r="V25" s="31">
        <v>0.19</v>
      </c>
      <c r="W25" s="31" t="s">
        <v>95</v>
      </c>
    </row>
    <row r="26" spans="1:23" x14ac:dyDescent="0.3">
      <c r="A26" s="58">
        <v>2251</v>
      </c>
      <c r="B26" s="55" t="s">
        <v>35</v>
      </c>
      <c r="C26" s="60">
        <f t="shared" ref="C26:N34" si="2">$V26/$U$9*C$9</f>
        <v>0</v>
      </c>
      <c r="D26" s="60">
        <f t="shared" si="2"/>
        <v>0</v>
      </c>
      <c r="E26" s="60">
        <f t="shared" si="2"/>
        <v>0</v>
      </c>
      <c r="F26" s="60">
        <f t="shared" si="2"/>
        <v>0</v>
      </c>
      <c r="G26" s="60">
        <f t="shared" si="2"/>
        <v>0</v>
      </c>
      <c r="H26" s="60">
        <f t="shared" si="2"/>
        <v>0</v>
      </c>
      <c r="I26" s="60">
        <f t="shared" si="2"/>
        <v>0</v>
      </c>
      <c r="J26" s="60">
        <f t="shared" si="2"/>
        <v>0</v>
      </c>
      <c r="K26" s="60">
        <f t="shared" si="2"/>
        <v>0</v>
      </c>
      <c r="L26" s="60">
        <f t="shared" si="2"/>
        <v>0</v>
      </c>
      <c r="M26" s="60">
        <f t="shared" si="2"/>
        <v>0</v>
      </c>
      <c r="N26" s="60">
        <f t="shared" si="2"/>
        <v>0</v>
      </c>
      <c r="V26" s="31">
        <v>0</v>
      </c>
      <c r="W26" s="31" t="s">
        <v>96</v>
      </c>
    </row>
    <row r="27" spans="1:23" x14ac:dyDescent="0.3">
      <c r="A27" s="58">
        <v>2311</v>
      </c>
      <c r="B27" s="55" t="s">
        <v>36</v>
      </c>
      <c r="C27" s="60">
        <f t="shared" si="2"/>
        <v>0.28263992084893391</v>
      </c>
      <c r="D27" s="60">
        <f t="shared" si="2"/>
        <v>0.51911200781164113</v>
      </c>
      <c r="E27" s="60">
        <f t="shared" si="2"/>
        <v>0.25215589656042053</v>
      </c>
      <c r="F27" s="60">
        <f t="shared" si="2"/>
        <v>1.0539078252209957</v>
      </c>
      <c r="G27" s="60">
        <f t="shared" si="2"/>
        <v>8.8911737508164061E-3</v>
      </c>
      <c r="H27" s="60">
        <f t="shared" si="2"/>
        <v>9.3881958859552105E-3</v>
      </c>
      <c r="I27" s="60">
        <f t="shared" si="2"/>
        <v>4.8045473063417846E-3</v>
      </c>
      <c r="J27" s="60">
        <f t="shared" si="2"/>
        <v>2.3083916943113399E-2</v>
      </c>
      <c r="K27" s="60">
        <f t="shared" si="2"/>
        <v>1.6606061781804304</v>
      </c>
      <c r="L27" s="60">
        <f t="shared" si="2"/>
        <v>4.4228343065551821</v>
      </c>
      <c r="M27" s="60">
        <f t="shared" si="2"/>
        <v>1.3724990138449698</v>
      </c>
      <c r="N27" s="60">
        <f t="shared" si="2"/>
        <v>7.455939498580582</v>
      </c>
      <c r="V27" s="31">
        <v>8.5399999999999991</v>
      </c>
      <c r="W27" s="31" t="s">
        <v>97</v>
      </c>
    </row>
    <row r="28" spans="1:23" x14ac:dyDescent="0.3">
      <c r="A28" s="58">
        <v>2312</v>
      </c>
      <c r="B28" s="55" t="s">
        <v>37</v>
      </c>
      <c r="C28" s="60">
        <f t="shared" si="2"/>
        <v>1.4380216113449862</v>
      </c>
      <c r="D28" s="60">
        <f t="shared" si="2"/>
        <v>2.6411495011025536</v>
      </c>
      <c r="E28" s="60">
        <f t="shared" si="2"/>
        <v>1.2829243214930064</v>
      </c>
      <c r="F28" s="60">
        <f t="shared" si="2"/>
        <v>5.3620954339405467</v>
      </c>
      <c r="G28" s="60">
        <f t="shared" si="2"/>
        <v>4.5236709540160763E-2</v>
      </c>
      <c r="H28" s="60">
        <f t="shared" si="2"/>
        <v>4.7765469700790868E-2</v>
      </c>
      <c r="I28" s="60">
        <f t="shared" si="2"/>
        <v>2.4444681552757679E-2</v>
      </c>
      <c r="J28" s="60">
        <f t="shared" si="2"/>
        <v>0.11744686079370929</v>
      </c>
      <c r="K28" s="60">
        <f t="shared" si="2"/>
        <v>8.4488686700163598</v>
      </c>
      <c r="L28" s="60">
        <f t="shared" si="2"/>
        <v>22.502593749393757</v>
      </c>
      <c r="M28" s="60">
        <f t="shared" si="2"/>
        <v>6.9830306969044438</v>
      </c>
      <c r="N28" s="60">
        <f t="shared" si="2"/>
        <v>37.934493116314563</v>
      </c>
      <c r="V28" s="31">
        <v>43.45</v>
      </c>
      <c r="W28" s="31" t="s">
        <v>98</v>
      </c>
    </row>
    <row r="29" spans="1:23" x14ac:dyDescent="0.3">
      <c r="A29" s="58">
        <v>2321</v>
      </c>
      <c r="B29" s="55" t="s">
        <v>38</v>
      </c>
      <c r="C29" s="60">
        <f t="shared" si="2"/>
        <v>0.95548179331483873</v>
      </c>
      <c r="D29" s="60">
        <f t="shared" si="2"/>
        <v>1.7548903589604308</v>
      </c>
      <c r="E29" s="60">
        <f t="shared" si="2"/>
        <v>0.85242865734184325</v>
      </c>
      <c r="F29" s="60">
        <f t="shared" si="2"/>
        <v>3.5628008096171127</v>
      </c>
      <c r="G29" s="60">
        <f t="shared" si="2"/>
        <v>3.005716465879036E-2</v>
      </c>
      <c r="H29" s="60">
        <f t="shared" si="2"/>
        <v>3.1737378832263109E-2</v>
      </c>
      <c r="I29" s="60">
        <f t="shared" si="2"/>
        <v>1.6242070343569944E-2</v>
      </c>
      <c r="J29" s="60">
        <f t="shared" si="2"/>
        <v>7.8036613834623403E-2</v>
      </c>
      <c r="K29" s="60">
        <f t="shared" si="2"/>
        <v>5.6137822440361864</v>
      </c>
      <c r="L29" s="60">
        <f t="shared" si="2"/>
        <v>14.951665858342869</v>
      </c>
      <c r="M29" s="60">
        <f t="shared" si="2"/>
        <v>4.6398180948131476</v>
      </c>
      <c r="N29" s="60">
        <f t="shared" si="2"/>
        <v>25.205266197192202</v>
      </c>
      <c r="V29" s="31">
        <v>28.87</v>
      </c>
      <c r="W29" s="31" t="s">
        <v>99</v>
      </c>
    </row>
    <row r="30" spans="1:23" x14ac:dyDescent="0.3">
      <c r="A30" s="58">
        <v>2341</v>
      </c>
      <c r="B30" s="55" t="s">
        <v>39</v>
      </c>
      <c r="C30" s="60">
        <f t="shared" si="2"/>
        <v>4.6334413253923601E-3</v>
      </c>
      <c r="D30" s="60">
        <f t="shared" si="2"/>
        <v>8.5100329149449365E-3</v>
      </c>
      <c r="E30" s="60">
        <f t="shared" si="2"/>
        <v>4.1337032223019762E-3</v>
      </c>
      <c r="F30" s="60">
        <f t="shared" si="2"/>
        <v>1.7277177462639275E-2</v>
      </c>
      <c r="G30" s="60">
        <f t="shared" si="2"/>
        <v>1.457569467346952E-4</v>
      </c>
      <c r="H30" s="60">
        <f t="shared" si="2"/>
        <v>1.5390485058942971E-4</v>
      </c>
      <c r="I30" s="60">
        <f t="shared" si="2"/>
        <v>7.8763070595766962E-5</v>
      </c>
      <c r="J30" s="60">
        <f t="shared" si="2"/>
        <v>3.7842486791989186E-4</v>
      </c>
      <c r="K30" s="60">
        <f t="shared" si="2"/>
        <v>2.7223052101318538E-2</v>
      </c>
      <c r="L30" s="60">
        <f t="shared" si="2"/>
        <v>7.2505480435330866E-2</v>
      </c>
      <c r="M30" s="60">
        <f t="shared" si="2"/>
        <v>2.2499983833524098E-2</v>
      </c>
      <c r="N30" s="60">
        <f t="shared" si="2"/>
        <v>0.12222851637017348</v>
      </c>
      <c r="V30" s="31">
        <v>0.14000000000000001</v>
      </c>
      <c r="W30" s="31" t="s">
        <v>100</v>
      </c>
    </row>
    <row r="31" spans="1:23" x14ac:dyDescent="0.3">
      <c r="A31" s="58">
        <v>2351</v>
      </c>
      <c r="B31" s="55" t="s">
        <v>40</v>
      </c>
      <c r="C31" s="60">
        <f t="shared" si="2"/>
        <v>0.4137001183386036</v>
      </c>
      <c r="D31" s="60">
        <f t="shared" si="2"/>
        <v>0.75982436740579795</v>
      </c>
      <c r="E31" s="60">
        <f t="shared" si="2"/>
        <v>0.36908064484839076</v>
      </c>
      <c r="F31" s="60">
        <f t="shared" si="2"/>
        <v>1.5426051305927924</v>
      </c>
      <c r="G31" s="60">
        <f t="shared" si="2"/>
        <v>1.3014013101312071E-2</v>
      </c>
      <c r="H31" s="60">
        <f t="shared" si="2"/>
        <v>1.3741504516913366E-2</v>
      </c>
      <c r="I31" s="60">
        <f t="shared" si="2"/>
        <v>7.0324170174791934E-3</v>
      </c>
      <c r="J31" s="60">
        <f t="shared" si="2"/>
        <v>3.3787934635704626E-2</v>
      </c>
      <c r="K31" s="60">
        <f t="shared" si="2"/>
        <v>2.4306296519034407</v>
      </c>
      <c r="L31" s="60">
        <f t="shared" si="2"/>
        <v>6.4737036102973988</v>
      </c>
      <c r="M31" s="60">
        <f t="shared" si="2"/>
        <v>2.008927127993223</v>
      </c>
      <c r="N31" s="60">
        <f t="shared" si="2"/>
        <v>10.913260390194061</v>
      </c>
      <c r="V31" s="31">
        <v>12.5</v>
      </c>
      <c r="W31" s="31" t="s">
        <v>97</v>
      </c>
    </row>
    <row r="32" spans="1:23" x14ac:dyDescent="0.3">
      <c r="A32" s="58">
        <v>2352</v>
      </c>
      <c r="B32" s="55" t="s">
        <v>41</v>
      </c>
      <c r="C32" s="60">
        <f t="shared" si="2"/>
        <v>0.21247638077870679</v>
      </c>
      <c r="D32" s="60">
        <f t="shared" si="2"/>
        <v>0.39024579509961782</v>
      </c>
      <c r="E32" s="60">
        <f t="shared" si="2"/>
        <v>0.18955981919413348</v>
      </c>
      <c r="F32" s="60">
        <f t="shared" si="2"/>
        <v>0.79228199507245811</v>
      </c>
      <c r="G32" s="60">
        <f t="shared" si="2"/>
        <v>6.6839971288338799E-3</v>
      </c>
      <c r="H32" s="60">
        <f t="shared" si="2"/>
        <v>7.0576367198867049E-3</v>
      </c>
      <c r="I32" s="60">
        <f t="shared" si="2"/>
        <v>3.6118493801773136E-3</v>
      </c>
      <c r="J32" s="60">
        <f t="shared" si="2"/>
        <v>1.7353483228897897E-2</v>
      </c>
      <c r="K32" s="60">
        <f t="shared" si="2"/>
        <v>1.2483713892176072</v>
      </c>
      <c r="L32" s="60">
        <f t="shared" si="2"/>
        <v>3.3248941742487435</v>
      </c>
      <c r="M32" s="60">
        <f t="shared" si="2"/>
        <v>1.0317849729373192</v>
      </c>
      <c r="N32" s="60">
        <f t="shared" si="2"/>
        <v>5.6050505364036693</v>
      </c>
      <c r="V32" s="31">
        <v>6.42</v>
      </c>
      <c r="W32" s="31" t="s">
        <v>98</v>
      </c>
    </row>
    <row r="33" spans="1:23" x14ac:dyDescent="0.3">
      <c r="A33" s="58">
        <v>2362</v>
      </c>
      <c r="B33" s="55" t="s">
        <v>42</v>
      </c>
      <c r="C33" s="60">
        <f t="shared" si="2"/>
        <v>0.74466021300948648</v>
      </c>
      <c r="D33" s="60">
        <f t="shared" si="2"/>
        <v>1.3676838613304363</v>
      </c>
      <c r="E33" s="60">
        <f t="shared" si="2"/>
        <v>0.66434516072710337</v>
      </c>
      <c r="F33" s="60">
        <f t="shared" si="2"/>
        <v>2.776689235067026</v>
      </c>
      <c r="G33" s="60">
        <f t="shared" si="2"/>
        <v>2.342522358236173E-2</v>
      </c>
      <c r="H33" s="60">
        <f t="shared" si="2"/>
        <v>2.4734708130444059E-2</v>
      </c>
      <c r="I33" s="60">
        <f t="shared" si="2"/>
        <v>1.2658350631462549E-2</v>
      </c>
      <c r="J33" s="60">
        <f t="shared" si="2"/>
        <v>6.081828234426833E-2</v>
      </c>
      <c r="K33" s="60">
        <f t="shared" si="2"/>
        <v>4.375133373426193</v>
      </c>
      <c r="L33" s="60">
        <f t="shared" si="2"/>
        <v>11.652666498535318</v>
      </c>
      <c r="M33" s="60">
        <f t="shared" si="2"/>
        <v>3.6160688303878015</v>
      </c>
      <c r="N33" s="60">
        <f t="shared" si="2"/>
        <v>19.643868702349312</v>
      </c>
      <c r="V33" s="31">
        <v>22.5</v>
      </c>
      <c r="W33" s="31" t="s">
        <v>101</v>
      </c>
    </row>
    <row r="34" spans="1:23" x14ac:dyDescent="0.3">
      <c r="A34" s="58" t="s">
        <v>13</v>
      </c>
      <c r="B34" s="55" t="s">
        <v>43</v>
      </c>
      <c r="C34" s="60">
        <f t="shared" si="2"/>
        <v>0.72347876695054991</v>
      </c>
      <c r="D34" s="60">
        <f t="shared" si="2"/>
        <v>1.3287808537192594</v>
      </c>
      <c r="E34" s="60">
        <f t="shared" si="2"/>
        <v>0.64544823171086574</v>
      </c>
      <c r="F34" s="60">
        <f t="shared" si="2"/>
        <v>2.6977078523806752</v>
      </c>
      <c r="G34" s="60">
        <f t="shared" si="2"/>
        <v>2.2758906111574551E-2</v>
      </c>
      <c r="H34" s="60">
        <f t="shared" si="2"/>
        <v>2.4031143099178094E-2</v>
      </c>
      <c r="I34" s="60">
        <f t="shared" si="2"/>
        <v>1.2298290880167614E-2</v>
      </c>
      <c r="J34" s="60">
        <f t="shared" si="2"/>
        <v>5.9088340090920254E-2</v>
      </c>
      <c r="K34" s="60">
        <f t="shared" si="2"/>
        <v>4.2506851352487374</v>
      </c>
      <c r="L34" s="60">
        <f t="shared" si="2"/>
        <v>11.32121287368809</v>
      </c>
      <c r="M34" s="60">
        <f t="shared" si="2"/>
        <v>3.5132117614345484</v>
      </c>
      <c r="N34" s="60">
        <f t="shared" si="2"/>
        <v>19.085109770371375</v>
      </c>
      <c r="V34" s="31">
        <v>21.86</v>
      </c>
      <c r="W34" s="31" t="s">
        <v>43</v>
      </c>
    </row>
    <row r="35" spans="1:23" x14ac:dyDescent="0.3">
      <c r="A35" s="56"/>
      <c r="B35" s="61" t="s">
        <v>44</v>
      </c>
      <c r="C35" s="60">
        <f t="shared" ref="C35:N35" si="3">SUM(C16:C34)</f>
        <v>73.346198624944222</v>
      </c>
      <c r="D35" s="60">
        <f t="shared" si="3"/>
        <v>134.71165827949898</v>
      </c>
      <c r="E35" s="60">
        <f t="shared" si="3"/>
        <v>65.435471457892788</v>
      </c>
      <c r="F35" s="60">
        <f t="shared" si="3"/>
        <v>273.493328362336</v>
      </c>
      <c r="G35" s="60">
        <f t="shared" si="3"/>
        <v>2.3072954237233345</v>
      </c>
      <c r="H35" s="60">
        <f t="shared" si="3"/>
        <v>2.4362746710122152</v>
      </c>
      <c r="I35" s="60">
        <f t="shared" si="3"/>
        <v>1.2467993904591923</v>
      </c>
      <c r="J35" s="60">
        <f t="shared" si="3"/>
        <v>5.9903694851947398</v>
      </c>
      <c r="K35" s="60">
        <f t="shared" si="3"/>
        <v>430.93399621963113</v>
      </c>
      <c r="L35" s="60">
        <f t="shared" si="3"/>
        <v>1147.7433285413313</v>
      </c>
      <c r="M35" s="60">
        <f t="shared" si="3"/>
        <v>356.16902587450932</v>
      </c>
      <c r="N35" s="60">
        <f t="shared" si="3"/>
        <v>1934.8463506354719</v>
      </c>
    </row>
    <row r="36" spans="1:23" ht="15.75" customHeight="1" x14ac:dyDescent="0.3">
      <c r="A36" s="55"/>
      <c r="B36" s="55" t="s">
        <v>45</v>
      </c>
      <c r="C36" s="60">
        <f t="shared" ref="C36:N36" si="4">C14+C35</f>
        <v>183.42399938541524</v>
      </c>
      <c r="D36" s="60">
        <f t="shared" si="4"/>
        <v>336.88659519790997</v>
      </c>
      <c r="E36" s="60">
        <f t="shared" si="4"/>
        <v>163.64087166741029</v>
      </c>
      <c r="F36" s="60">
        <f t="shared" si="4"/>
        <v>683.95146625073562</v>
      </c>
      <c r="G36" s="60">
        <f t="shared" si="4"/>
        <v>5.7700789177514382</v>
      </c>
      <c r="H36" s="60">
        <f t="shared" si="4"/>
        <v>6.0926299131536918</v>
      </c>
      <c r="I36" s="60">
        <f t="shared" si="4"/>
        <v>3.117992955555124</v>
      </c>
      <c r="J36" s="60">
        <f t="shared" si="4"/>
        <v>14.980701786460251</v>
      </c>
      <c r="K36" s="60">
        <f t="shared" si="4"/>
        <v>1077.6787146384204</v>
      </c>
      <c r="L36" s="60">
        <f t="shared" si="4"/>
        <v>2870.2737910861933</v>
      </c>
      <c r="M36" s="60">
        <f t="shared" si="4"/>
        <v>890.70665430358042</v>
      </c>
      <c r="N36" s="60">
        <f t="shared" si="4"/>
        <v>4838.6591600281936</v>
      </c>
    </row>
    <row r="37" spans="1:23" ht="37.5" customHeight="1" x14ac:dyDescent="0.3">
      <c r="A37" s="55"/>
      <c r="B37" s="55" t="s">
        <v>46</v>
      </c>
      <c r="C37" s="62">
        <v>117</v>
      </c>
      <c r="D37" s="62">
        <v>117</v>
      </c>
      <c r="E37" s="62">
        <v>117</v>
      </c>
      <c r="F37" s="62" t="s">
        <v>47</v>
      </c>
      <c r="G37" s="62">
        <v>2</v>
      </c>
      <c r="H37" s="62">
        <v>2</v>
      </c>
      <c r="I37" s="62">
        <v>2</v>
      </c>
      <c r="J37" s="62" t="s">
        <v>47</v>
      </c>
      <c r="K37" s="81">
        <v>652</v>
      </c>
      <c r="L37" s="81">
        <v>883</v>
      </c>
      <c r="M37" s="81">
        <v>634</v>
      </c>
      <c r="N37" s="81" t="s">
        <v>47</v>
      </c>
    </row>
    <row r="38" spans="1:23" ht="60" customHeight="1" x14ac:dyDescent="0.3">
      <c r="A38" s="55"/>
      <c r="B38" s="55" t="s">
        <v>122</v>
      </c>
      <c r="C38" s="60">
        <f>C14/C37</f>
        <v>0.94083590393564975</v>
      </c>
      <c r="D38" s="60">
        <f t="shared" ref="D38:E38" si="5">D14/D37</f>
        <v>1.7279909138325729</v>
      </c>
      <c r="E38" s="60">
        <f t="shared" si="5"/>
        <v>0.83936239495314113</v>
      </c>
      <c r="F38" s="60">
        <f>SUM(C38:E38)</f>
        <v>3.5081892127213639</v>
      </c>
      <c r="G38" s="60">
        <f>G14/G37</f>
        <v>1.7313917470140519</v>
      </c>
      <c r="H38" s="60">
        <f t="shared" ref="H38:I38" si="6">H14/H37</f>
        <v>1.8281776210707381</v>
      </c>
      <c r="I38" s="60">
        <f t="shared" si="6"/>
        <v>0.93559678254796586</v>
      </c>
      <c r="J38" s="60">
        <f>SUM(G38:I38)</f>
        <v>4.4951661506327554</v>
      </c>
      <c r="K38" s="60">
        <f>K14/K37</f>
        <v>0.99193975217605712</v>
      </c>
      <c r="L38" s="63">
        <f t="shared" ref="L38:M38" si="7">L14/L37</f>
        <v>1.9507706257586204</v>
      </c>
      <c r="M38" s="60">
        <f t="shared" si="7"/>
        <v>0.84311928774301437</v>
      </c>
      <c r="N38" s="60">
        <f>SUM(K38:M38)</f>
        <v>3.7858296656776917</v>
      </c>
    </row>
    <row r="39" spans="1:23" ht="61.5" customHeight="1" x14ac:dyDescent="0.3">
      <c r="A39" s="55"/>
      <c r="B39" s="55" t="s">
        <v>125</v>
      </c>
      <c r="C39" s="59">
        <f>C9/C37</f>
        <v>0.43743589743589745</v>
      </c>
      <c r="D39" s="59">
        <f>D9/D37</f>
        <v>0.80341880341880345</v>
      </c>
      <c r="E39" s="59">
        <f>E9/E37</f>
        <v>0.39025641025641022</v>
      </c>
      <c r="F39" s="59">
        <f>SUM(C39:E39)</f>
        <v>1.6311111111111112</v>
      </c>
      <c r="G39" s="59">
        <f>G9/G37</f>
        <v>0.80500000000000005</v>
      </c>
      <c r="H39" s="59">
        <f>H9/H37</f>
        <v>0.85</v>
      </c>
      <c r="I39" s="59">
        <f>I9/I37</f>
        <v>0.435</v>
      </c>
      <c r="J39" s="59">
        <f>G39+H39+I39</f>
        <v>2.09</v>
      </c>
      <c r="K39" s="59">
        <f>K9/K37</f>
        <v>0.46119631901840491</v>
      </c>
      <c r="L39" s="59">
        <f>L9/L37</f>
        <v>0.90699886749716874</v>
      </c>
      <c r="M39" s="59">
        <f>M9/M37</f>
        <v>0.39200315457413248</v>
      </c>
      <c r="N39" s="59">
        <f>SUM(K39:M39)</f>
        <v>1.7601983410897062</v>
      </c>
    </row>
  </sheetData>
  <mergeCells count="5">
    <mergeCell ref="F1:N1"/>
    <mergeCell ref="G6:J6"/>
    <mergeCell ref="C6:F6"/>
    <mergeCell ref="K6:N6"/>
    <mergeCell ref="A6:B6"/>
  </mergeCell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3821-4287-453A-8B84-C87C01EB527A}">
  <sheetPr>
    <pageSetUpPr fitToPage="1"/>
  </sheetPr>
  <dimension ref="A1:AI39"/>
  <sheetViews>
    <sheetView zoomScale="106" zoomScaleNormal="106" workbookViewId="0">
      <selection activeCell="G1" sqref="G1:N1"/>
    </sheetView>
  </sheetViews>
  <sheetFormatPr defaultColWidth="9.109375" defaultRowHeight="15.6" x14ac:dyDescent="0.3"/>
  <cols>
    <col min="1" max="1" width="10.6640625" style="76" customWidth="1"/>
    <col min="2" max="2" width="43" style="79" customWidth="1"/>
    <col min="3" max="10" width="10.6640625" style="76" customWidth="1"/>
    <col min="11" max="11" width="11.6640625" style="76" customWidth="1"/>
    <col min="12" max="12" width="10.33203125" style="76" customWidth="1"/>
    <col min="13" max="14" width="9.109375" style="76"/>
    <col min="15" max="17" width="9.109375" style="73" hidden="1" customWidth="1"/>
    <col min="18" max="18" width="27.88671875" style="73" hidden="1" customWidth="1"/>
    <col min="19" max="20" width="9.109375" style="75" customWidth="1"/>
    <col min="21" max="35" width="9.109375" style="75"/>
    <col min="36" max="16384" width="9.109375" style="76"/>
  </cols>
  <sheetData>
    <row r="1" spans="1:35" s="70" customFormat="1" ht="70.5" customHeight="1" x14ac:dyDescent="0.3">
      <c r="A1" s="66"/>
      <c r="B1" s="66"/>
      <c r="C1" s="66"/>
      <c r="D1" s="66"/>
      <c r="E1" s="66"/>
      <c r="F1" s="66"/>
      <c r="G1" s="14" t="s">
        <v>140</v>
      </c>
      <c r="H1" s="14"/>
      <c r="I1" s="14"/>
      <c r="J1" s="14"/>
      <c r="K1" s="14"/>
      <c r="L1" s="14"/>
      <c r="M1" s="14"/>
      <c r="N1" s="14"/>
      <c r="O1" s="68"/>
      <c r="P1" s="68"/>
      <c r="Q1" s="68"/>
      <c r="R1" s="68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pans="1:35" s="70" customFormat="1" x14ac:dyDescent="0.3">
      <c r="A2" s="65"/>
      <c r="B2" s="65"/>
      <c r="C2" s="71"/>
      <c r="D2" s="71"/>
      <c r="E2" s="71"/>
      <c r="F2" s="66"/>
      <c r="G2" s="66"/>
      <c r="H2" s="66"/>
      <c r="I2" s="66"/>
      <c r="J2" s="66"/>
      <c r="K2" s="66"/>
      <c r="L2" s="66"/>
      <c r="O2" s="68"/>
      <c r="P2" s="68"/>
      <c r="Q2" s="68"/>
      <c r="R2" s="68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 s="70" customFormat="1" x14ac:dyDescent="0.3">
      <c r="A3" s="64" t="s">
        <v>14</v>
      </c>
      <c r="B3" s="65"/>
      <c r="C3" s="71"/>
      <c r="D3" s="71"/>
      <c r="E3" s="71"/>
      <c r="F3" s="71"/>
      <c r="G3" s="71"/>
      <c r="H3" s="71"/>
      <c r="I3" s="71"/>
      <c r="J3" s="71"/>
      <c r="K3" s="71"/>
      <c r="O3" s="68"/>
      <c r="P3" s="68"/>
      <c r="Q3" s="68"/>
      <c r="R3" s="68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70" customFormat="1" x14ac:dyDescent="0.3">
      <c r="A4" s="16" t="s">
        <v>126</v>
      </c>
      <c r="B4" s="66"/>
      <c r="C4" s="65"/>
      <c r="D4" s="71"/>
      <c r="E4" s="71"/>
      <c r="F4" s="71"/>
      <c r="G4" s="71"/>
      <c r="H4" s="71"/>
      <c r="I4" s="71"/>
      <c r="J4" s="71"/>
      <c r="K4" s="16"/>
      <c r="O4" s="68"/>
      <c r="P4" s="68"/>
      <c r="Q4" s="68"/>
      <c r="R4" s="68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</row>
    <row r="6" spans="1:35" ht="46.8" x14ac:dyDescent="0.3">
      <c r="A6" s="9" t="s">
        <v>64</v>
      </c>
      <c r="B6" s="8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K6" s="11" t="s">
        <v>65</v>
      </c>
      <c r="L6" s="11"/>
      <c r="M6" s="11"/>
      <c r="N6" s="11"/>
      <c r="P6" s="74" t="s">
        <v>79</v>
      </c>
      <c r="Q6" s="74" t="s">
        <v>81</v>
      </c>
    </row>
    <row r="7" spans="1:35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</row>
    <row r="8" spans="1:35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35" x14ac:dyDescent="0.3">
      <c r="A9" s="58">
        <v>2363</v>
      </c>
      <c r="B9" s="55" t="s">
        <v>18</v>
      </c>
      <c r="C9" s="59">
        <v>26.63</v>
      </c>
      <c r="D9" s="59">
        <v>67.86</v>
      </c>
      <c r="E9" s="59">
        <v>28.22</v>
      </c>
      <c r="F9" s="59">
        <f>C9+D9+E9</f>
        <v>122.71</v>
      </c>
      <c r="G9" s="59">
        <v>249.16</v>
      </c>
      <c r="H9" s="59">
        <v>569.92999999999995</v>
      </c>
      <c r="I9" s="59">
        <v>257.18</v>
      </c>
      <c r="J9" s="59">
        <f>SUM(G9:I9)</f>
        <v>1076.27</v>
      </c>
      <c r="K9" s="59">
        <v>9.98</v>
      </c>
      <c r="L9" s="59">
        <v>23.18</v>
      </c>
      <c r="M9" s="59">
        <v>8.57</v>
      </c>
      <c r="N9" s="59">
        <f>SUM(K9:M9)</f>
        <v>41.73</v>
      </c>
      <c r="P9" s="77">
        <v>1375.28</v>
      </c>
      <c r="T9" s="80">
        <v>1375.28</v>
      </c>
    </row>
    <row r="10" spans="1:35" x14ac:dyDescent="0.3">
      <c r="A10" s="58">
        <v>1100</v>
      </c>
      <c r="B10" s="55" t="s">
        <v>19</v>
      </c>
      <c r="C10" s="60">
        <f>Q10/P9*C9</f>
        <v>25.811318422430343</v>
      </c>
      <c r="D10" s="60">
        <f>Q10/P9*D9</f>
        <v>65.773791518817987</v>
      </c>
      <c r="E10" s="60">
        <f>Q10/P9*E9</f>
        <v>27.35243732185446</v>
      </c>
      <c r="F10" s="60">
        <f>SUM(C10:E10)</f>
        <v>118.9375472631028</v>
      </c>
      <c r="G10" s="60">
        <f>Q10/P9*G9</f>
        <v>241.50011633994532</v>
      </c>
      <c r="H10" s="60">
        <f>Q10/P9*H9</f>
        <v>552.40873858414284</v>
      </c>
      <c r="I10" s="60">
        <f>Q10/P9*I9</f>
        <v>249.27355883892736</v>
      </c>
      <c r="J10" s="60">
        <f>SUM(G10:I10)</f>
        <v>1043.1824137630156</v>
      </c>
      <c r="K10" s="59">
        <f>Q10/P9*K9</f>
        <v>9.6731865511023223</v>
      </c>
      <c r="L10" s="59">
        <f>Q10/P9*L9</f>
        <v>22.467381187830842</v>
      </c>
      <c r="M10" s="59">
        <f>Q10/P9*M9</f>
        <v>8.3065339421790476</v>
      </c>
      <c r="N10" s="59">
        <f>SUM(K10:M10)</f>
        <v>40.447101681112215</v>
      </c>
      <c r="Q10" s="73">
        <v>1333</v>
      </c>
    </row>
    <row r="11" spans="1:35" ht="46.8" x14ac:dyDescent="0.3">
      <c r="A11" s="58">
        <v>1200</v>
      </c>
      <c r="B11" s="55" t="s">
        <v>20</v>
      </c>
      <c r="C11" s="60">
        <f>Q11/P9*C9</f>
        <v>6.0888900158513177</v>
      </c>
      <c r="D11" s="60">
        <f>Q11/P9*D9</f>
        <v>15.516037419289164</v>
      </c>
      <c r="E11" s="60">
        <f>Q11/P9*E9</f>
        <v>6.4524399642254666</v>
      </c>
      <c r="F11" s="60">
        <f>SUM(C11:E11)</f>
        <v>28.057367399365948</v>
      </c>
      <c r="G11" s="60">
        <f>Q11/P9*G9</f>
        <v>56.969877444593102</v>
      </c>
      <c r="H11" s="60">
        <f>Q11/P9*H9</f>
        <v>130.3132214319993</v>
      </c>
      <c r="I11" s="60">
        <f>Q11/P9*I9</f>
        <v>58.803632530102966</v>
      </c>
      <c r="J11" s="60">
        <f>SUM(G11:I11)</f>
        <v>246.08673140669535</v>
      </c>
      <c r="K11" s="59">
        <f>Q11/P9*K9</f>
        <v>2.2819047074050376</v>
      </c>
      <c r="L11" s="59">
        <f>Q11/P9*L9</f>
        <v>5.3000552222092958</v>
      </c>
      <c r="M11" s="59">
        <f>Q11/P9*M9</f>
        <v>1.9595113569600373</v>
      </c>
      <c r="N11" s="59">
        <f>SUM(K11:M11)</f>
        <v>9.5414712865743709</v>
      </c>
      <c r="Q11" s="73">
        <f>Q10*0.2359</f>
        <v>314.4547</v>
      </c>
    </row>
    <row r="12" spans="1:35" x14ac:dyDescent="0.3">
      <c r="A12" s="58">
        <v>2222</v>
      </c>
      <c r="B12" s="55" t="s">
        <v>21</v>
      </c>
      <c r="C12" s="60">
        <f>Q12/P9*C9</f>
        <v>5.1124999272875353</v>
      </c>
      <c r="D12" s="60">
        <f>Q12/P9*D9</f>
        <v>13.027947617939622</v>
      </c>
      <c r="E12" s="60">
        <f>Q12/P9*E9</f>
        <v>5.4177524576813454</v>
      </c>
      <c r="F12" s="60">
        <f t="shared" ref="F12:F13" si="0">SUM(C12:E12)</f>
        <v>23.558200002908503</v>
      </c>
      <c r="G12" s="60">
        <f>Q12/P9*G9</f>
        <v>47.834415391774776</v>
      </c>
      <c r="H12" s="60">
        <f>Q12/P9*H9</f>
        <v>109.41671361468211</v>
      </c>
      <c r="I12" s="60">
        <f>Q12/P9*I9</f>
        <v>49.374116834390101</v>
      </c>
      <c r="J12" s="60">
        <f t="shared" ref="J12:J13" si="1">SUM(G12:I12)</f>
        <v>206.62524584084699</v>
      </c>
      <c r="K12" s="59">
        <f>Q12/P9*K9</f>
        <v>1.9159875807108375</v>
      </c>
      <c r="L12" s="59">
        <f>Q12/P9*L9</f>
        <v>4.4501595311500211</v>
      </c>
      <c r="M12" s="59">
        <f>Q12/P9*M9</f>
        <v>1.6452919405502884</v>
      </c>
      <c r="N12" s="59">
        <f t="shared" ref="N12:N13" si="2">SUM(K12:M12)</f>
        <v>8.0114390524111467</v>
      </c>
      <c r="Q12" s="73">
        <f>2031*0.13</f>
        <v>264.03000000000003</v>
      </c>
      <c r="R12" s="68"/>
    </row>
    <row r="13" spans="1:35" x14ac:dyDescent="0.3">
      <c r="A13" s="58">
        <v>2223</v>
      </c>
      <c r="B13" s="55" t="s">
        <v>22</v>
      </c>
      <c r="C13" s="60">
        <f>Q13/P9*C9</f>
        <v>7.4686298790064569</v>
      </c>
      <c r="D13" s="60">
        <f>Q13/P9*D9</f>
        <v>19.031964836251529</v>
      </c>
      <c r="E13" s="60">
        <f>Q13/P9*E9</f>
        <v>7.9145600895817578</v>
      </c>
      <c r="F13" s="60">
        <f t="shared" si="0"/>
        <v>34.415154804839744</v>
      </c>
      <c r="G13" s="60">
        <f>Q13/P9*G9</f>
        <v>69.879227211913218</v>
      </c>
      <c r="H13" s="60">
        <f>Q13/P9*H9</f>
        <v>159.84214145483102</v>
      </c>
      <c r="I13" s="60">
        <f>Q13/P9*I9</f>
        <v>72.128510412425115</v>
      </c>
      <c r="J13" s="60">
        <f t="shared" si="1"/>
        <v>301.84987907916934</v>
      </c>
      <c r="K13" s="59">
        <f>Q13/P9*K9</f>
        <v>2.7989833343028332</v>
      </c>
      <c r="L13" s="59">
        <f>Q13/P9*L9</f>
        <v>6.5010454598336338</v>
      </c>
      <c r="M13" s="59">
        <f>Q13/P9*M9</f>
        <v>2.4035357890756792</v>
      </c>
      <c r="N13" s="59">
        <f t="shared" si="2"/>
        <v>11.703564583212145</v>
      </c>
      <c r="Q13" s="73">
        <f>2967*0.13</f>
        <v>385.71000000000004</v>
      </c>
      <c r="R13" s="68"/>
    </row>
    <row r="14" spans="1:35" x14ac:dyDescent="0.3">
      <c r="A14" s="56"/>
      <c r="B14" s="61" t="s">
        <v>23</v>
      </c>
      <c r="C14" s="60">
        <f>SUM(C9:C13)</f>
        <v>71.111338244575649</v>
      </c>
      <c r="D14" s="60">
        <f t="shared" ref="D14:N14" si="3">SUM(D9:D13)</f>
        <v>181.2097413922983</v>
      </c>
      <c r="E14" s="60">
        <f t="shared" si="3"/>
        <v>75.357189833343028</v>
      </c>
      <c r="F14" s="60">
        <f t="shared" si="3"/>
        <v>327.678269470217</v>
      </c>
      <c r="G14" s="60">
        <f t="shared" si="3"/>
        <v>665.3436363882264</v>
      </c>
      <c r="H14" s="60">
        <f t="shared" si="3"/>
        <v>1521.9108150856555</v>
      </c>
      <c r="I14" s="60">
        <f>SUM(I9:I13)</f>
        <v>686.75981861584557</v>
      </c>
      <c r="J14" s="60">
        <f t="shared" si="3"/>
        <v>2874.0142700897277</v>
      </c>
      <c r="K14" s="60">
        <f t="shared" si="3"/>
        <v>26.650062173521029</v>
      </c>
      <c r="L14" s="60">
        <f t="shared" si="3"/>
        <v>61.898641401023795</v>
      </c>
      <c r="M14" s="60">
        <f t="shared" si="3"/>
        <v>22.88487302876505</v>
      </c>
      <c r="N14" s="60">
        <f t="shared" si="3"/>
        <v>111.43357660330987</v>
      </c>
      <c r="Q14" s="73">
        <f>SUM(Q10:Q13)</f>
        <v>2297.1947</v>
      </c>
    </row>
    <row r="15" spans="1:35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</row>
    <row r="16" spans="1:35" x14ac:dyDescent="0.3">
      <c r="A16" s="58">
        <v>1100</v>
      </c>
      <c r="B16" s="55" t="s">
        <v>25</v>
      </c>
      <c r="C16" s="60">
        <f t="shared" ref="C16:N25" si="4">$U16/$T$9*C$9</f>
        <v>45.991780582863122</v>
      </c>
      <c r="D16" s="60">
        <f t="shared" si="4"/>
        <v>117.19873189459599</v>
      </c>
      <c r="E16" s="60">
        <f t="shared" si="4"/>
        <v>48.737816299226331</v>
      </c>
      <c r="F16" s="60">
        <f t="shared" si="4"/>
        <v>211.92832877668545</v>
      </c>
      <c r="G16" s="60">
        <f t="shared" si="4"/>
        <v>430.31588621953341</v>
      </c>
      <c r="H16" s="60">
        <f t="shared" si="4"/>
        <v>984.30700366470808</v>
      </c>
      <c r="I16" s="60">
        <f t="shared" si="4"/>
        <v>444.16695945552902</v>
      </c>
      <c r="J16" s="60">
        <f t="shared" si="4"/>
        <v>1858.7898493397706</v>
      </c>
      <c r="K16" s="60">
        <f t="shared" si="4"/>
        <v>17.23612355302193</v>
      </c>
      <c r="L16" s="60">
        <f t="shared" si="4"/>
        <v>40.033401198301434</v>
      </c>
      <c r="M16" s="60">
        <f t="shared" si="4"/>
        <v>14.80095980454889</v>
      </c>
      <c r="N16" s="60">
        <f t="shared" si="4"/>
        <v>72.070484555872241</v>
      </c>
      <c r="U16" s="69">
        <v>2375.1999999999998</v>
      </c>
      <c r="V16" s="78">
        <v>1100</v>
      </c>
      <c r="W16" s="69"/>
    </row>
    <row r="17" spans="1:23" ht="46.8" x14ac:dyDescent="0.3">
      <c r="A17" s="58">
        <v>1200</v>
      </c>
      <c r="B17" s="55" t="s">
        <v>26</v>
      </c>
      <c r="C17" s="60">
        <f t="shared" si="4"/>
        <v>10.849461039497411</v>
      </c>
      <c r="D17" s="60">
        <f t="shared" si="4"/>
        <v>27.647180853935197</v>
      </c>
      <c r="E17" s="60">
        <f t="shared" si="4"/>
        <v>11.497250864987492</v>
      </c>
      <c r="F17" s="60">
        <f t="shared" si="4"/>
        <v>49.993892758420102</v>
      </c>
      <c r="G17" s="60">
        <f t="shared" si="4"/>
        <v>101.51151755918794</v>
      </c>
      <c r="H17" s="60">
        <f t="shared" si="4"/>
        <v>232.19802216450466</v>
      </c>
      <c r="I17" s="60">
        <f t="shared" si="4"/>
        <v>104.7789857355593</v>
      </c>
      <c r="J17" s="60">
        <f t="shared" si="4"/>
        <v>438.48852545925189</v>
      </c>
      <c r="K17" s="60">
        <f t="shared" si="4"/>
        <v>4.0660015461578736</v>
      </c>
      <c r="L17" s="60">
        <f t="shared" si="4"/>
        <v>9.443879342679308</v>
      </c>
      <c r="M17" s="60">
        <f t="shared" si="4"/>
        <v>3.4915464178930837</v>
      </c>
      <c r="N17" s="60">
        <f t="shared" si="4"/>
        <v>17.001427306730264</v>
      </c>
      <c r="U17" s="69">
        <f>U16*0.2359</f>
        <v>560.30967999999996</v>
      </c>
      <c r="V17" s="78">
        <v>1200</v>
      </c>
      <c r="W17" s="69"/>
    </row>
    <row r="18" spans="1:23" x14ac:dyDescent="0.3">
      <c r="A18" s="58">
        <v>2210</v>
      </c>
      <c r="B18" s="55" t="s">
        <v>27</v>
      </c>
      <c r="C18" s="60">
        <f t="shared" si="4"/>
        <v>5.6734555872258743E-2</v>
      </c>
      <c r="D18" s="60">
        <f t="shared" si="4"/>
        <v>0.14457405037519633</v>
      </c>
      <c r="E18" s="60">
        <f t="shared" si="4"/>
        <v>6.0122011517654589E-2</v>
      </c>
      <c r="F18" s="60">
        <f t="shared" si="4"/>
        <v>0.26143061776510967</v>
      </c>
      <c r="G18" s="60">
        <f t="shared" si="4"/>
        <v>0.53082921296026997</v>
      </c>
      <c r="H18" s="60">
        <f t="shared" si="4"/>
        <v>1.2142217584782735</v>
      </c>
      <c r="I18" s="60">
        <f t="shared" si="4"/>
        <v>0.54791562445465658</v>
      </c>
      <c r="J18" s="60">
        <f t="shared" si="4"/>
        <v>2.2929665958932</v>
      </c>
      <c r="K18" s="60">
        <f t="shared" si="4"/>
        <v>2.1262142981792801E-2</v>
      </c>
      <c r="L18" s="60">
        <f t="shared" si="4"/>
        <v>4.9384416264324361E-2</v>
      </c>
      <c r="M18" s="60">
        <f t="shared" si="4"/>
        <v>1.8258172881158746E-2</v>
      </c>
      <c r="N18" s="60">
        <f t="shared" si="4"/>
        <v>8.8904732127275898E-2</v>
      </c>
      <c r="U18" s="31">
        <v>2.93</v>
      </c>
      <c r="V18" s="78">
        <v>2210</v>
      </c>
      <c r="W18" s="31" t="s">
        <v>108</v>
      </c>
    </row>
    <row r="19" spans="1:23" x14ac:dyDescent="0.3">
      <c r="A19" s="58">
        <v>2221</v>
      </c>
      <c r="B19" s="55" t="s">
        <v>28</v>
      </c>
      <c r="C19" s="60">
        <f t="shared" si="4"/>
        <v>0</v>
      </c>
      <c r="D19" s="60">
        <f t="shared" si="4"/>
        <v>0</v>
      </c>
      <c r="E19" s="60">
        <f t="shared" si="4"/>
        <v>0</v>
      </c>
      <c r="F19" s="60">
        <f t="shared" si="4"/>
        <v>0</v>
      </c>
      <c r="G19" s="60">
        <f t="shared" si="4"/>
        <v>0</v>
      </c>
      <c r="H19" s="60">
        <f t="shared" si="4"/>
        <v>0</v>
      </c>
      <c r="I19" s="60">
        <f t="shared" si="4"/>
        <v>0</v>
      </c>
      <c r="J19" s="60">
        <f t="shared" si="4"/>
        <v>0</v>
      </c>
      <c r="K19" s="60">
        <f t="shared" si="4"/>
        <v>0</v>
      </c>
      <c r="L19" s="60">
        <f t="shared" si="4"/>
        <v>0</v>
      </c>
      <c r="M19" s="60">
        <f t="shared" si="4"/>
        <v>0</v>
      </c>
      <c r="N19" s="60">
        <f t="shared" si="4"/>
        <v>0</v>
      </c>
      <c r="U19" s="31">
        <v>0</v>
      </c>
      <c r="V19" s="78">
        <v>2221</v>
      </c>
      <c r="W19" s="31" t="s">
        <v>89</v>
      </c>
    </row>
    <row r="20" spans="1:23" x14ac:dyDescent="0.3">
      <c r="A20" s="58">
        <v>2224</v>
      </c>
      <c r="B20" s="55" t="s">
        <v>29</v>
      </c>
      <c r="C20" s="60">
        <f t="shared" si="4"/>
        <v>0.17426996684311558</v>
      </c>
      <c r="D20" s="60">
        <f t="shared" si="4"/>
        <v>0.44408411378046653</v>
      </c>
      <c r="E20" s="60">
        <f t="shared" si="4"/>
        <v>0.18467512070269326</v>
      </c>
      <c r="F20" s="60">
        <f t="shared" si="4"/>
        <v>0.80302920132627542</v>
      </c>
      <c r="G20" s="60">
        <f t="shared" si="4"/>
        <v>1.6305334186492932</v>
      </c>
      <c r="H20" s="60">
        <f t="shared" si="4"/>
        <v>3.7296914082950381</v>
      </c>
      <c r="I20" s="60">
        <f t="shared" si="4"/>
        <v>1.6830172764818803</v>
      </c>
      <c r="J20" s="60">
        <f t="shared" si="4"/>
        <v>7.0432421034262118</v>
      </c>
      <c r="K20" s="60">
        <f t="shared" si="4"/>
        <v>6.5310336804141708E-2</v>
      </c>
      <c r="L20" s="60">
        <f t="shared" si="4"/>
        <v>0.15169274620440928</v>
      </c>
      <c r="M20" s="60">
        <f t="shared" si="4"/>
        <v>5.6083124890931306E-2</v>
      </c>
      <c r="N20" s="60">
        <f t="shared" si="4"/>
        <v>0.27308620789948229</v>
      </c>
      <c r="U20" s="31">
        <v>9</v>
      </c>
      <c r="V20" s="78">
        <v>2224</v>
      </c>
      <c r="W20" s="31" t="s">
        <v>90</v>
      </c>
    </row>
    <row r="21" spans="1:23" x14ac:dyDescent="0.3">
      <c r="A21" s="58">
        <v>2234</v>
      </c>
      <c r="B21" s="55" t="s">
        <v>30</v>
      </c>
      <c r="C21" s="60">
        <f t="shared" si="4"/>
        <v>1.1617997789541039</v>
      </c>
      <c r="D21" s="60">
        <f t="shared" si="4"/>
        <v>2.9605607585364435</v>
      </c>
      <c r="E21" s="60">
        <f t="shared" si="4"/>
        <v>1.2311674713512883</v>
      </c>
      <c r="F21" s="60">
        <f t="shared" si="4"/>
        <v>5.3535280088418356</v>
      </c>
      <c r="G21" s="60">
        <f t="shared" si="4"/>
        <v>10.870222790995287</v>
      </c>
      <c r="H21" s="60">
        <f t="shared" si="4"/>
        <v>24.864609388633585</v>
      </c>
      <c r="I21" s="60">
        <f t="shared" si="4"/>
        <v>11.220115176545868</v>
      </c>
      <c r="J21" s="60">
        <f t="shared" si="4"/>
        <v>46.954947356174742</v>
      </c>
      <c r="K21" s="60">
        <f t="shared" si="4"/>
        <v>0.43540224536094468</v>
      </c>
      <c r="L21" s="60">
        <f t="shared" si="4"/>
        <v>1.0112849746960619</v>
      </c>
      <c r="M21" s="60">
        <f t="shared" si="4"/>
        <v>0.37388749927287535</v>
      </c>
      <c r="N21" s="60">
        <f t="shared" si="4"/>
        <v>1.8205747193298818</v>
      </c>
      <c r="U21" s="31">
        <f>2*30</f>
        <v>60</v>
      </c>
      <c r="V21" s="78">
        <v>2234</v>
      </c>
      <c r="W21" s="31" t="s">
        <v>91</v>
      </c>
    </row>
    <row r="22" spans="1:23" x14ac:dyDescent="0.3">
      <c r="A22" s="58">
        <v>2235</v>
      </c>
      <c r="B22" s="55" t="s">
        <v>31</v>
      </c>
      <c r="C22" s="60">
        <f t="shared" si="4"/>
        <v>0.77453318596940257</v>
      </c>
      <c r="D22" s="60">
        <f t="shared" si="4"/>
        <v>1.9737071723576292</v>
      </c>
      <c r="E22" s="60">
        <f t="shared" si="4"/>
        <v>0.82077831423419234</v>
      </c>
      <c r="F22" s="60">
        <f t="shared" si="4"/>
        <v>3.5690186725612238</v>
      </c>
      <c r="G22" s="60">
        <f t="shared" si="4"/>
        <v>7.2468151939968593</v>
      </c>
      <c r="H22" s="60">
        <f t="shared" si="4"/>
        <v>16.576406259089058</v>
      </c>
      <c r="I22" s="60">
        <f t="shared" si="4"/>
        <v>7.480076784363912</v>
      </c>
      <c r="J22" s="60">
        <f t="shared" si="4"/>
        <v>31.30329823744983</v>
      </c>
      <c r="K22" s="60">
        <f t="shared" si="4"/>
        <v>0.29026816357396318</v>
      </c>
      <c r="L22" s="60">
        <f t="shared" si="4"/>
        <v>0.67418998313070799</v>
      </c>
      <c r="M22" s="60">
        <f t="shared" si="4"/>
        <v>0.24925833284858359</v>
      </c>
      <c r="N22" s="60">
        <f t="shared" si="4"/>
        <v>1.2137164795532547</v>
      </c>
      <c r="U22" s="31">
        <f>2*20</f>
        <v>40</v>
      </c>
      <c r="V22" s="78">
        <v>2235</v>
      </c>
      <c r="W22" s="31" t="s">
        <v>92</v>
      </c>
    </row>
    <row r="23" spans="1:23" x14ac:dyDescent="0.3">
      <c r="A23" s="58">
        <v>2243</v>
      </c>
      <c r="B23" s="55" t="s">
        <v>32</v>
      </c>
      <c r="C23" s="60">
        <f t="shared" si="4"/>
        <v>0.29044994473852598</v>
      </c>
      <c r="D23" s="60">
        <f t="shared" si="4"/>
        <v>0.74014018963411088</v>
      </c>
      <c r="E23" s="60">
        <f t="shared" si="4"/>
        <v>0.30779186783782209</v>
      </c>
      <c r="F23" s="60">
        <f t="shared" si="4"/>
        <v>1.3383820022104589</v>
      </c>
      <c r="G23" s="60">
        <f t="shared" si="4"/>
        <v>2.7175556977488218</v>
      </c>
      <c r="H23" s="60">
        <f t="shared" si="4"/>
        <v>6.2161523471583964</v>
      </c>
      <c r="I23" s="60">
        <f t="shared" si="4"/>
        <v>2.8050287941364669</v>
      </c>
      <c r="J23" s="60">
        <f t="shared" si="4"/>
        <v>11.738736839043685</v>
      </c>
      <c r="K23" s="60">
        <f t="shared" si="4"/>
        <v>0.10885056134023617</v>
      </c>
      <c r="L23" s="60">
        <f t="shared" si="4"/>
        <v>0.25282124367401548</v>
      </c>
      <c r="M23" s="60">
        <f t="shared" si="4"/>
        <v>9.3471874818218836E-2</v>
      </c>
      <c r="N23" s="60">
        <f t="shared" si="4"/>
        <v>0.45514367983247045</v>
      </c>
      <c r="U23" s="31">
        <v>15</v>
      </c>
      <c r="V23" s="78">
        <v>2243</v>
      </c>
      <c r="W23" s="31" t="s">
        <v>93</v>
      </c>
    </row>
    <row r="24" spans="1:23" x14ac:dyDescent="0.3">
      <c r="A24" s="58">
        <v>2244</v>
      </c>
      <c r="B24" s="55" t="s">
        <v>33</v>
      </c>
      <c r="C24" s="60">
        <f t="shared" si="4"/>
        <v>7.7259685300447911E-2</v>
      </c>
      <c r="D24" s="60">
        <f t="shared" si="4"/>
        <v>0.19687729044267349</v>
      </c>
      <c r="E24" s="60">
        <f t="shared" si="4"/>
        <v>8.187263684486068E-2</v>
      </c>
      <c r="F24" s="60">
        <f t="shared" si="4"/>
        <v>0.35600961258798208</v>
      </c>
      <c r="G24" s="60">
        <f t="shared" si="4"/>
        <v>0.72286981560118668</v>
      </c>
      <c r="H24" s="60">
        <f t="shared" si="4"/>
        <v>1.6534965243441335</v>
      </c>
      <c r="I24" s="60">
        <f t="shared" si="4"/>
        <v>0.74613765924030018</v>
      </c>
      <c r="J24" s="60">
        <f t="shared" si="4"/>
        <v>3.1225039991856205</v>
      </c>
      <c r="K24" s="60">
        <f t="shared" si="4"/>
        <v>2.8954249316502822E-2</v>
      </c>
      <c r="L24" s="60">
        <f t="shared" si="4"/>
        <v>6.7250450817288115E-2</v>
      </c>
      <c r="M24" s="60">
        <f t="shared" si="4"/>
        <v>2.4863518701646211E-2</v>
      </c>
      <c r="N24" s="60">
        <f t="shared" si="4"/>
        <v>0.12106821883543714</v>
      </c>
      <c r="U24" s="31">
        <v>3.99</v>
      </c>
      <c r="V24" s="78">
        <v>2244</v>
      </c>
      <c r="W24" s="31" t="s">
        <v>94</v>
      </c>
    </row>
    <row r="25" spans="1:23" x14ac:dyDescent="0.3">
      <c r="A25" s="58">
        <v>2247</v>
      </c>
      <c r="B25" s="55" t="s">
        <v>34</v>
      </c>
      <c r="C25" s="60">
        <f t="shared" si="4"/>
        <v>2.5172328544005584E-3</v>
      </c>
      <c r="D25" s="60">
        <f t="shared" si="4"/>
        <v>6.4145483101622942E-3</v>
      </c>
      <c r="E25" s="60">
        <f t="shared" si="4"/>
        <v>2.6675295212611251E-3</v>
      </c>
      <c r="F25" s="60">
        <f t="shared" si="4"/>
        <v>1.1599310685823977E-2</v>
      </c>
      <c r="G25" s="60">
        <f t="shared" si="4"/>
        <v>2.355214938048979E-2</v>
      </c>
      <c r="H25" s="60">
        <f t="shared" si="4"/>
        <v>5.3873320342039434E-2</v>
      </c>
      <c r="I25" s="60">
        <f t="shared" si="4"/>
        <v>2.4310249549182712E-2</v>
      </c>
      <c r="J25" s="60">
        <f t="shared" si="4"/>
        <v>0.10173571927171195</v>
      </c>
      <c r="K25" s="60">
        <f t="shared" si="4"/>
        <v>9.4337153161538022E-4</v>
      </c>
      <c r="L25" s="60">
        <f t="shared" si="4"/>
        <v>2.1911174451748009E-3</v>
      </c>
      <c r="M25" s="60">
        <f t="shared" si="4"/>
        <v>8.1008958175789658E-4</v>
      </c>
      <c r="N25" s="60">
        <f t="shared" si="4"/>
        <v>3.9445785585480774E-3</v>
      </c>
      <c r="U25" s="31">
        <v>0.13</v>
      </c>
      <c r="V25" s="78">
        <v>2247</v>
      </c>
      <c r="W25" s="31" t="s">
        <v>95</v>
      </c>
    </row>
    <row r="26" spans="1:23" x14ac:dyDescent="0.3">
      <c r="A26" s="58">
        <v>2251</v>
      </c>
      <c r="B26" s="55" t="s">
        <v>35</v>
      </c>
      <c r="C26" s="60">
        <f t="shared" ref="C26:N34" si="5">$U26/$T$9*C$9</f>
        <v>0</v>
      </c>
      <c r="D26" s="60">
        <f t="shared" si="5"/>
        <v>0</v>
      </c>
      <c r="E26" s="60">
        <f t="shared" si="5"/>
        <v>0</v>
      </c>
      <c r="F26" s="60">
        <f t="shared" si="5"/>
        <v>0</v>
      </c>
      <c r="G26" s="60">
        <f t="shared" si="5"/>
        <v>0</v>
      </c>
      <c r="H26" s="60">
        <f t="shared" si="5"/>
        <v>0</v>
      </c>
      <c r="I26" s="60">
        <f t="shared" si="5"/>
        <v>0</v>
      </c>
      <c r="J26" s="60">
        <f t="shared" si="5"/>
        <v>0</v>
      </c>
      <c r="K26" s="60">
        <f t="shared" si="5"/>
        <v>0</v>
      </c>
      <c r="L26" s="60">
        <f t="shared" si="5"/>
        <v>0</v>
      </c>
      <c r="M26" s="60">
        <f t="shared" si="5"/>
        <v>0</v>
      </c>
      <c r="N26" s="60">
        <f t="shared" si="5"/>
        <v>0</v>
      </c>
      <c r="U26" s="31">
        <v>0</v>
      </c>
      <c r="V26" s="78">
        <v>2251</v>
      </c>
      <c r="W26" s="31" t="s">
        <v>96</v>
      </c>
    </row>
    <row r="27" spans="1:23" x14ac:dyDescent="0.3">
      <c r="A27" s="58">
        <v>2311</v>
      </c>
      <c r="B27" s="55" t="s">
        <v>36</v>
      </c>
      <c r="C27" s="60">
        <f t="shared" si="5"/>
        <v>0.11811631086033389</v>
      </c>
      <c r="D27" s="60">
        <f t="shared" si="5"/>
        <v>0.30099034378453843</v>
      </c>
      <c r="E27" s="60">
        <f t="shared" si="5"/>
        <v>0.12516869292071431</v>
      </c>
      <c r="F27" s="60">
        <f t="shared" si="5"/>
        <v>0.5442753475655866</v>
      </c>
      <c r="G27" s="60">
        <f t="shared" si="5"/>
        <v>1.105139317084521</v>
      </c>
      <c r="H27" s="60">
        <f t="shared" si="5"/>
        <v>2.5279019545110812</v>
      </c>
      <c r="I27" s="60">
        <f t="shared" si="5"/>
        <v>1.1407117096154964</v>
      </c>
      <c r="J27" s="60">
        <f t="shared" si="5"/>
        <v>4.773752981211099</v>
      </c>
      <c r="K27" s="60">
        <f t="shared" si="5"/>
        <v>4.4265894945029374E-2</v>
      </c>
      <c r="L27" s="60">
        <f t="shared" si="5"/>
        <v>0.10281397242743295</v>
      </c>
      <c r="M27" s="60">
        <f t="shared" si="5"/>
        <v>3.8011895759408991E-2</v>
      </c>
      <c r="N27" s="60">
        <f t="shared" si="5"/>
        <v>0.18509176313187131</v>
      </c>
      <c r="U27" s="31">
        <v>6.1</v>
      </c>
      <c r="V27" s="78">
        <v>2311</v>
      </c>
      <c r="W27" s="31" t="s">
        <v>97</v>
      </c>
    </row>
    <row r="28" spans="1:23" x14ac:dyDescent="0.3">
      <c r="A28" s="58">
        <v>2312</v>
      </c>
      <c r="B28" s="55" t="s">
        <v>37</v>
      </c>
      <c r="C28" s="60">
        <f t="shared" si="5"/>
        <v>8.2294151009249028E-2</v>
      </c>
      <c r="D28" s="60">
        <f t="shared" si="5"/>
        <v>0.20970638706299807</v>
      </c>
      <c r="E28" s="60">
        <f t="shared" si="5"/>
        <v>8.7207695887382933E-2</v>
      </c>
      <c r="F28" s="60">
        <f t="shared" si="5"/>
        <v>0.37920823395963005</v>
      </c>
      <c r="G28" s="60">
        <f t="shared" si="5"/>
        <v>0.76997411436216623</v>
      </c>
      <c r="H28" s="60">
        <f t="shared" si="5"/>
        <v>1.7612431650282123</v>
      </c>
      <c r="I28" s="60">
        <f t="shared" si="5"/>
        <v>0.79475815833866559</v>
      </c>
      <c r="J28" s="60">
        <f t="shared" si="5"/>
        <v>3.3259754377290442</v>
      </c>
      <c r="K28" s="60">
        <f t="shared" si="5"/>
        <v>3.0840992379733582E-2</v>
      </c>
      <c r="L28" s="60">
        <f t="shared" si="5"/>
        <v>7.1632685707637714E-2</v>
      </c>
      <c r="M28" s="60">
        <f t="shared" si="5"/>
        <v>2.6483697865162005E-2</v>
      </c>
      <c r="N28" s="60">
        <f t="shared" si="5"/>
        <v>0.12895737595253329</v>
      </c>
      <c r="U28" s="31">
        <v>4.25</v>
      </c>
      <c r="V28" s="78">
        <v>2312</v>
      </c>
      <c r="W28" s="31" t="s">
        <v>98</v>
      </c>
    </row>
    <row r="29" spans="1:23" x14ac:dyDescent="0.3">
      <c r="A29" s="58">
        <v>2321</v>
      </c>
      <c r="B29" s="55" t="s">
        <v>38</v>
      </c>
      <c r="C29" s="60">
        <f t="shared" si="5"/>
        <v>0.39462465825141063</v>
      </c>
      <c r="D29" s="60">
        <f t="shared" si="5"/>
        <v>1.0056038043162119</v>
      </c>
      <c r="E29" s="60">
        <f t="shared" si="5"/>
        <v>0.41818655110232095</v>
      </c>
      <c r="F29" s="60">
        <f t="shared" si="5"/>
        <v>1.8184150136699435</v>
      </c>
      <c r="G29" s="60">
        <f t="shared" si="5"/>
        <v>3.6922523413413995</v>
      </c>
      <c r="H29" s="60">
        <f t="shared" si="5"/>
        <v>8.4456789890058737</v>
      </c>
      <c r="I29" s="60">
        <f t="shared" si="5"/>
        <v>3.8110991216334131</v>
      </c>
      <c r="J29" s="60">
        <f t="shared" si="5"/>
        <v>15.949030451980688</v>
      </c>
      <c r="K29" s="60">
        <f t="shared" si="5"/>
        <v>0.14789162934093422</v>
      </c>
      <c r="L29" s="60">
        <f t="shared" si="5"/>
        <v>0.3434997964050957</v>
      </c>
      <c r="M29" s="60">
        <f t="shared" si="5"/>
        <v>0.12699712058635332</v>
      </c>
      <c r="N29" s="60">
        <f t="shared" si="5"/>
        <v>0.61838854633238316</v>
      </c>
      <c r="U29" s="31">
        <v>20.38</v>
      </c>
      <c r="V29" s="78">
        <v>2321</v>
      </c>
      <c r="W29" s="31" t="s">
        <v>99</v>
      </c>
    </row>
    <row r="30" spans="1:23" x14ac:dyDescent="0.3">
      <c r="A30" s="58">
        <v>2341</v>
      </c>
      <c r="B30" s="55" t="s">
        <v>39</v>
      </c>
      <c r="C30" s="60">
        <f t="shared" si="5"/>
        <v>7.7453318596940263E-4</v>
      </c>
      <c r="D30" s="60">
        <f t="shared" si="5"/>
        <v>1.9737071723576289E-3</v>
      </c>
      <c r="E30" s="60">
        <f t="shared" si="5"/>
        <v>8.2077831423419225E-4</v>
      </c>
      <c r="F30" s="60">
        <f t="shared" si="5"/>
        <v>3.5690186725612239E-3</v>
      </c>
      <c r="G30" s="60">
        <f t="shared" si="5"/>
        <v>7.2468151939968587E-3</v>
      </c>
      <c r="H30" s="60">
        <f t="shared" si="5"/>
        <v>1.6576406259089058E-2</v>
      </c>
      <c r="I30" s="60">
        <f t="shared" si="5"/>
        <v>7.4800767843639119E-3</v>
      </c>
      <c r="J30" s="60">
        <f t="shared" si="5"/>
        <v>3.1303298237449831E-2</v>
      </c>
      <c r="K30" s="60">
        <f t="shared" si="5"/>
        <v>2.9026816357396312E-4</v>
      </c>
      <c r="L30" s="60">
        <f t="shared" si="5"/>
        <v>6.7418998313070798E-4</v>
      </c>
      <c r="M30" s="60">
        <f t="shared" si="5"/>
        <v>2.4925833284858358E-4</v>
      </c>
      <c r="N30" s="60">
        <f t="shared" si="5"/>
        <v>1.2137164795532546E-3</v>
      </c>
      <c r="U30" s="31">
        <v>0.04</v>
      </c>
      <c r="V30" s="78" t="s">
        <v>104</v>
      </c>
      <c r="W30" s="31" t="s">
        <v>100</v>
      </c>
    </row>
    <row r="31" spans="1:23" x14ac:dyDescent="0.3">
      <c r="A31" s="58">
        <v>2351</v>
      </c>
      <c r="B31" s="55" t="s">
        <v>40</v>
      </c>
      <c r="C31" s="60">
        <f t="shared" si="5"/>
        <v>0.21454569251352451</v>
      </c>
      <c r="D31" s="60">
        <f t="shared" si="5"/>
        <v>0.54671688674306329</v>
      </c>
      <c r="E31" s="60">
        <f t="shared" si="5"/>
        <v>0.22735559304287126</v>
      </c>
      <c r="F31" s="60">
        <f t="shared" si="5"/>
        <v>0.98861817229945903</v>
      </c>
      <c r="G31" s="60">
        <f t="shared" si="5"/>
        <v>2.0073678087371301</v>
      </c>
      <c r="H31" s="60">
        <f t="shared" si="5"/>
        <v>4.5916645337676689</v>
      </c>
      <c r="I31" s="60">
        <f t="shared" si="5"/>
        <v>2.0719812692688038</v>
      </c>
      <c r="J31" s="60">
        <f t="shared" si="5"/>
        <v>8.6710136117736027</v>
      </c>
      <c r="K31" s="60">
        <f t="shared" si="5"/>
        <v>8.0404281309987793E-2</v>
      </c>
      <c r="L31" s="60">
        <f t="shared" si="5"/>
        <v>0.1867506253272061</v>
      </c>
      <c r="M31" s="60">
        <f t="shared" si="5"/>
        <v>6.9044558199057651E-2</v>
      </c>
      <c r="N31" s="60">
        <f t="shared" si="5"/>
        <v>0.33619946483625152</v>
      </c>
      <c r="U31" s="31">
        <v>11.08</v>
      </c>
      <c r="V31" s="78" t="s">
        <v>102</v>
      </c>
      <c r="W31" s="31" t="s">
        <v>97</v>
      </c>
    </row>
    <row r="32" spans="1:23" x14ac:dyDescent="0.3">
      <c r="A32" s="58">
        <v>2352</v>
      </c>
      <c r="B32" s="55" t="s">
        <v>41</v>
      </c>
      <c r="C32" s="60">
        <f t="shared" si="5"/>
        <v>6.7190753882845677E-2</v>
      </c>
      <c r="D32" s="60">
        <f t="shared" si="5"/>
        <v>0.17121909720202433</v>
      </c>
      <c r="E32" s="60">
        <f t="shared" si="5"/>
        <v>7.1202518759816188E-2</v>
      </c>
      <c r="F32" s="60">
        <f t="shared" si="5"/>
        <v>0.30961236984468615</v>
      </c>
      <c r="G32" s="60">
        <f t="shared" si="5"/>
        <v>0.62866121807922748</v>
      </c>
      <c r="H32" s="60">
        <f t="shared" si="5"/>
        <v>1.4380032429759757</v>
      </c>
      <c r="I32" s="60">
        <f t="shared" si="5"/>
        <v>0.64889666104356936</v>
      </c>
      <c r="J32" s="60">
        <f t="shared" si="5"/>
        <v>2.7155611220987725</v>
      </c>
      <c r="K32" s="60">
        <f t="shared" si="5"/>
        <v>2.5180763190041304E-2</v>
      </c>
      <c r="L32" s="60">
        <f t="shared" si="5"/>
        <v>5.8485981036588912E-2</v>
      </c>
      <c r="M32" s="60">
        <f t="shared" si="5"/>
        <v>2.1623160374614626E-2</v>
      </c>
      <c r="N32" s="60">
        <f t="shared" si="5"/>
        <v>0.10528990460124484</v>
      </c>
      <c r="U32" s="31">
        <v>3.47</v>
      </c>
      <c r="V32" s="78" t="s">
        <v>103</v>
      </c>
      <c r="W32" s="31" t="s">
        <v>98</v>
      </c>
    </row>
    <row r="33" spans="1:23" x14ac:dyDescent="0.3">
      <c r="A33" s="58">
        <v>2362</v>
      </c>
      <c r="B33" s="55" t="s">
        <v>42</v>
      </c>
      <c r="C33" s="60">
        <f t="shared" si="5"/>
        <v>0.16458830201849806</v>
      </c>
      <c r="D33" s="60">
        <f t="shared" si="5"/>
        <v>0.41941277412599615</v>
      </c>
      <c r="E33" s="60">
        <f t="shared" si="5"/>
        <v>0.17441539177476587</v>
      </c>
      <c r="F33" s="60">
        <f t="shared" si="5"/>
        <v>0.7584164679192601</v>
      </c>
      <c r="G33" s="60">
        <f t="shared" si="5"/>
        <v>1.5399482287243325</v>
      </c>
      <c r="H33" s="60">
        <f t="shared" si="5"/>
        <v>3.5224863300564246</v>
      </c>
      <c r="I33" s="60">
        <f t="shared" si="5"/>
        <v>1.5895163166773312</v>
      </c>
      <c r="J33" s="60">
        <f t="shared" si="5"/>
        <v>6.6519508754580885</v>
      </c>
      <c r="K33" s="60">
        <f t="shared" si="5"/>
        <v>6.1681984759467165E-2</v>
      </c>
      <c r="L33" s="60">
        <f t="shared" si="5"/>
        <v>0.14326537141527543</v>
      </c>
      <c r="M33" s="60">
        <f t="shared" si="5"/>
        <v>5.296739573032401E-2</v>
      </c>
      <c r="N33" s="60">
        <f t="shared" si="5"/>
        <v>0.25791475190506657</v>
      </c>
      <c r="U33" s="31">
        <v>8.5</v>
      </c>
      <c r="V33" s="78">
        <v>2362</v>
      </c>
      <c r="W33" s="31" t="s">
        <v>101</v>
      </c>
    </row>
    <row r="34" spans="1:23" x14ac:dyDescent="0.3">
      <c r="A34" s="58" t="s">
        <v>13</v>
      </c>
      <c r="B34" s="55" t="s">
        <v>43</v>
      </c>
      <c r="C34" s="60">
        <f t="shared" si="5"/>
        <v>0</v>
      </c>
      <c r="D34" s="60">
        <f t="shared" si="5"/>
        <v>0</v>
      </c>
      <c r="E34" s="60">
        <f t="shared" si="5"/>
        <v>0</v>
      </c>
      <c r="F34" s="60">
        <f t="shared" si="5"/>
        <v>0</v>
      </c>
      <c r="G34" s="60">
        <f t="shared" si="5"/>
        <v>0</v>
      </c>
      <c r="H34" s="60">
        <f t="shared" si="5"/>
        <v>0</v>
      </c>
      <c r="I34" s="60">
        <f t="shared" si="5"/>
        <v>0</v>
      </c>
      <c r="J34" s="60">
        <f t="shared" si="5"/>
        <v>0</v>
      </c>
      <c r="K34" s="60">
        <f t="shared" si="5"/>
        <v>0</v>
      </c>
      <c r="L34" s="60">
        <f t="shared" si="5"/>
        <v>0</v>
      </c>
      <c r="M34" s="60">
        <f t="shared" si="5"/>
        <v>0</v>
      </c>
      <c r="N34" s="60">
        <f t="shared" si="5"/>
        <v>0</v>
      </c>
      <c r="U34" s="31">
        <v>0</v>
      </c>
      <c r="V34" s="31">
        <v>5239</v>
      </c>
      <c r="W34" s="31" t="s">
        <v>43</v>
      </c>
    </row>
    <row r="35" spans="1:23" x14ac:dyDescent="0.3">
      <c r="A35" s="56"/>
      <c r="B35" s="61" t="s">
        <v>44</v>
      </c>
      <c r="C35" s="60">
        <f>SUM(C16:C34)</f>
        <v>60.420940374614631</v>
      </c>
      <c r="D35" s="60">
        <f t="shared" ref="D35:N35" si="6">SUM(D16:D34)</f>
        <v>153.96789387237507</v>
      </c>
      <c r="E35" s="60">
        <f t="shared" si="6"/>
        <v>64.028499338025725</v>
      </c>
      <c r="F35" s="60">
        <f t="shared" si="6"/>
        <v>278.4173335850154</v>
      </c>
      <c r="G35" s="60">
        <f t="shared" si="6"/>
        <v>565.32037190157632</v>
      </c>
      <c r="H35" s="60">
        <f t="shared" si="6"/>
        <v>1293.1170314571575</v>
      </c>
      <c r="I35" s="60">
        <f t="shared" si="6"/>
        <v>583.51699006922217</v>
      </c>
      <c r="J35" s="60">
        <f t="shared" si="6"/>
        <v>2441.9543934279563</v>
      </c>
      <c r="K35" s="60">
        <f t="shared" si="6"/>
        <v>22.643671984177765</v>
      </c>
      <c r="L35" s="60">
        <f t="shared" si="6"/>
        <v>52.593218095515098</v>
      </c>
      <c r="M35" s="60">
        <f t="shared" si="6"/>
        <v>19.444515922284918</v>
      </c>
      <c r="N35" s="60">
        <f t="shared" si="6"/>
        <v>94.681406001977763</v>
      </c>
    </row>
    <row r="36" spans="1:23" ht="21" customHeight="1" x14ac:dyDescent="0.3">
      <c r="A36" s="55"/>
      <c r="B36" s="55" t="s">
        <v>45</v>
      </c>
      <c r="C36" s="60">
        <f>C14+C35</f>
        <v>131.53227861919027</v>
      </c>
      <c r="D36" s="60">
        <f t="shared" ref="D36:N36" si="7">D14+D35</f>
        <v>335.17763526467337</v>
      </c>
      <c r="E36" s="60">
        <f t="shared" si="7"/>
        <v>139.38568917136877</v>
      </c>
      <c r="F36" s="60">
        <f t="shared" si="7"/>
        <v>606.09560305523246</v>
      </c>
      <c r="G36" s="60">
        <f t="shared" si="7"/>
        <v>1230.6640082898027</v>
      </c>
      <c r="H36" s="60">
        <f t="shared" si="7"/>
        <v>2815.0278465428128</v>
      </c>
      <c r="I36" s="60">
        <f t="shared" si="7"/>
        <v>1270.2768086850679</v>
      </c>
      <c r="J36" s="60">
        <f t="shared" si="7"/>
        <v>5315.968663517684</v>
      </c>
      <c r="K36" s="60">
        <f t="shared" si="7"/>
        <v>49.293734157698793</v>
      </c>
      <c r="L36" s="60">
        <f t="shared" si="7"/>
        <v>114.49185949653889</v>
      </c>
      <c r="M36" s="60">
        <f t="shared" si="7"/>
        <v>42.329388951049964</v>
      </c>
      <c r="N36" s="60">
        <f t="shared" si="7"/>
        <v>206.11498260528765</v>
      </c>
    </row>
    <row r="37" spans="1:23" ht="44.25" customHeight="1" x14ac:dyDescent="0.3">
      <c r="A37" s="55"/>
      <c r="B37" s="55" t="s">
        <v>46</v>
      </c>
      <c r="C37" s="62">
        <v>80</v>
      </c>
      <c r="D37" s="62">
        <v>86</v>
      </c>
      <c r="E37" s="62">
        <v>82</v>
      </c>
      <c r="F37" s="62" t="s">
        <v>47</v>
      </c>
      <c r="G37" s="62">
        <v>644</v>
      </c>
      <c r="H37" s="62">
        <v>601</v>
      </c>
      <c r="I37" s="62">
        <v>590</v>
      </c>
      <c r="J37" s="62" t="s">
        <v>47</v>
      </c>
      <c r="K37" s="81">
        <v>21</v>
      </c>
      <c r="L37" s="81">
        <v>23</v>
      </c>
      <c r="M37" s="81">
        <v>18</v>
      </c>
      <c r="N37" s="81" t="s">
        <v>47</v>
      </c>
    </row>
    <row r="38" spans="1:23" ht="60.75" customHeight="1" x14ac:dyDescent="0.3">
      <c r="A38" s="55"/>
      <c r="B38" s="55" t="s">
        <v>123</v>
      </c>
      <c r="C38" s="60">
        <f>C14/C37</f>
        <v>0.88889172805719563</v>
      </c>
      <c r="D38" s="60">
        <f t="shared" ref="D38:E38" si="8">D14/D37</f>
        <v>2.107090016189515</v>
      </c>
      <c r="E38" s="60">
        <f t="shared" si="8"/>
        <v>0.91899011991881741</v>
      </c>
      <c r="F38" s="60">
        <f>SUM(C38:E38)</f>
        <v>3.914971864165528</v>
      </c>
      <c r="G38" s="60">
        <f>G14/G37</f>
        <v>1.0331422925283018</v>
      </c>
      <c r="H38" s="63">
        <f t="shared" ref="H38:I38" si="9">H14/H37</f>
        <v>2.5322975292606582</v>
      </c>
      <c r="I38" s="60">
        <f t="shared" si="9"/>
        <v>1.1639996925692297</v>
      </c>
      <c r="J38" s="60">
        <f>SUM(G38:I38)</f>
        <v>4.72943951435819</v>
      </c>
      <c r="K38" s="60">
        <f>K14/K37</f>
        <v>1.2690505796914775</v>
      </c>
      <c r="L38" s="60">
        <f t="shared" ref="L38:M38" si="10">L14/L37</f>
        <v>2.6912452783053822</v>
      </c>
      <c r="M38" s="60">
        <f t="shared" si="10"/>
        <v>1.2713818349313917</v>
      </c>
      <c r="N38" s="60">
        <f>SUM(K38:M38)</f>
        <v>5.2316776929282511</v>
      </c>
    </row>
    <row r="39" spans="1:23" ht="57" customHeight="1" x14ac:dyDescent="0.3">
      <c r="A39" s="55"/>
      <c r="B39" s="55" t="s">
        <v>125</v>
      </c>
      <c r="C39" s="59">
        <f>C9/C37</f>
        <v>0.33287499999999998</v>
      </c>
      <c r="D39" s="59">
        <f>D9/D37</f>
        <v>0.78906976744186041</v>
      </c>
      <c r="E39" s="59">
        <f>E9/E37</f>
        <v>0.34414634146341461</v>
      </c>
      <c r="F39" s="59">
        <f>SUM(C39:E39)</f>
        <v>1.4660911089052751</v>
      </c>
      <c r="G39" s="59">
        <f>G9/G37</f>
        <v>0.38689440993788821</v>
      </c>
      <c r="H39" s="59">
        <f>H9/H37</f>
        <v>0.94830282861896831</v>
      </c>
      <c r="I39" s="59">
        <f>I9/I37</f>
        <v>0.43589830508474575</v>
      </c>
      <c r="J39" s="59">
        <f>G39+H39+I39</f>
        <v>1.7710955436416023</v>
      </c>
      <c r="K39" s="59">
        <f>K9/K37</f>
        <v>0.47523809523809524</v>
      </c>
      <c r="L39" s="59">
        <f>L9/L37</f>
        <v>1.0078260869565216</v>
      </c>
      <c r="M39" s="59">
        <f>M9/M37</f>
        <v>0.47611111111111115</v>
      </c>
      <c r="N39" s="59">
        <f>SUM(K39:M39)</f>
        <v>1.959175293305728</v>
      </c>
    </row>
  </sheetData>
  <mergeCells count="5">
    <mergeCell ref="G1:N1"/>
    <mergeCell ref="C6:F6"/>
    <mergeCell ref="G6:J6"/>
    <mergeCell ref="K6:N6"/>
    <mergeCell ref="A6:B6"/>
  </mergeCells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E7B7-20EE-4B5A-BE36-5D900EF612FF}">
  <sheetPr>
    <pageSetUpPr fitToPage="1"/>
  </sheetPr>
  <dimension ref="A1:X39"/>
  <sheetViews>
    <sheetView topLeftCell="A4" zoomScale="112" zoomScaleNormal="112" workbookViewId="0">
      <selection activeCell="B1" sqref="B1:F1"/>
    </sheetView>
  </sheetViews>
  <sheetFormatPr defaultColWidth="9.109375" defaultRowHeight="15.6" x14ac:dyDescent="0.3"/>
  <cols>
    <col min="1" max="1" width="10.6640625" style="76" customWidth="1"/>
    <col min="2" max="2" width="62.109375" style="79" customWidth="1"/>
    <col min="3" max="3" width="12.33203125" style="76" customWidth="1"/>
    <col min="4" max="6" width="9.109375" style="76"/>
    <col min="7" max="9" width="9.109375" style="73" hidden="1" customWidth="1"/>
    <col min="10" max="10" width="36.88671875" style="73" customWidth="1"/>
    <col min="11" max="24" width="9.109375" style="75"/>
    <col min="25" max="16384" width="9.109375" style="76"/>
  </cols>
  <sheetData>
    <row r="1" spans="1:24" s="70" customFormat="1" ht="63" customHeight="1" x14ac:dyDescent="0.3">
      <c r="A1" s="66"/>
      <c r="B1" s="14" t="s">
        <v>141</v>
      </c>
      <c r="C1" s="14"/>
      <c r="D1" s="14"/>
      <c r="E1" s="14"/>
      <c r="F1" s="14"/>
      <c r="G1" s="68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s="70" customFormat="1" x14ac:dyDescent="0.3">
      <c r="A2" s="65"/>
      <c r="B2" s="65"/>
      <c r="G2" s="68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4" s="70" customFormat="1" x14ac:dyDescent="0.3">
      <c r="A3" s="64" t="s">
        <v>14</v>
      </c>
      <c r="B3" s="65"/>
      <c r="G3" s="68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s="70" customFormat="1" x14ac:dyDescent="0.3">
      <c r="A4" s="16" t="s">
        <v>126</v>
      </c>
      <c r="B4" s="66"/>
      <c r="G4" s="68"/>
      <c r="H4" s="68"/>
      <c r="I4" s="68"/>
      <c r="J4" s="68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6" spans="1:24" ht="46.8" x14ac:dyDescent="0.3">
      <c r="A6" s="9" t="s">
        <v>66</v>
      </c>
      <c r="B6" s="8"/>
      <c r="C6" s="11" t="s">
        <v>0</v>
      </c>
      <c r="D6" s="11"/>
      <c r="E6" s="11"/>
      <c r="F6" s="11"/>
      <c r="H6" s="74" t="s">
        <v>82</v>
      </c>
      <c r="I6" s="74" t="s">
        <v>80</v>
      </c>
    </row>
    <row r="7" spans="1:24" ht="26.25" customHeight="1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</row>
    <row r="8" spans="1:24" x14ac:dyDescent="0.3">
      <c r="A8" s="56"/>
      <c r="B8" s="55" t="s">
        <v>17</v>
      </c>
      <c r="C8" s="56"/>
      <c r="D8" s="56"/>
      <c r="E8" s="56"/>
      <c r="F8" s="56"/>
    </row>
    <row r="9" spans="1:24" x14ac:dyDescent="0.3">
      <c r="A9" s="58">
        <v>2363</v>
      </c>
      <c r="B9" s="55" t="s">
        <v>18</v>
      </c>
      <c r="C9" s="59">
        <v>314.07</v>
      </c>
      <c r="D9" s="59">
        <v>857.33</v>
      </c>
      <c r="E9" s="59">
        <v>318.85000000000002</v>
      </c>
      <c r="F9" s="59">
        <f>C9+D9+E9</f>
        <v>1490.25</v>
      </c>
      <c r="H9" s="77">
        <v>1490.77</v>
      </c>
      <c r="U9" s="80">
        <v>1490.25</v>
      </c>
    </row>
    <row r="10" spans="1:24" x14ac:dyDescent="0.3">
      <c r="A10" s="58">
        <v>1100</v>
      </c>
      <c r="B10" s="55" t="s">
        <v>19</v>
      </c>
      <c r="C10" s="60">
        <f>I10/H9*C9</f>
        <v>297.05367025094415</v>
      </c>
      <c r="D10" s="60">
        <f>I10/H9*D9</f>
        <v>810.8798137875059</v>
      </c>
      <c r="E10" s="60">
        <f>I10/H9*E9</f>
        <v>301.57468958994349</v>
      </c>
      <c r="F10" s="60">
        <f>SUM(C10:E10)</f>
        <v>1409.5081736283935</v>
      </c>
      <c r="I10" s="73">
        <v>1410</v>
      </c>
    </row>
    <row r="11" spans="1:24" ht="31.2" x14ac:dyDescent="0.3">
      <c r="A11" s="58">
        <v>1200</v>
      </c>
      <c r="B11" s="55" t="s">
        <v>20</v>
      </c>
      <c r="C11" s="60">
        <f>I11/H9*C9</f>
        <v>70.074960812197716</v>
      </c>
      <c r="D11" s="60">
        <f>I11/H9*D9</f>
        <v>191.28654807247261</v>
      </c>
      <c r="E11" s="60">
        <f>I11/H9*E9</f>
        <v>71.141469274267664</v>
      </c>
      <c r="F11" s="60">
        <f>SUM(C11:E11)</f>
        <v>332.50297815893799</v>
      </c>
      <c r="I11" s="73">
        <f>I10*0.2359</f>
        <v>332.61899999999997</v>
      </c>
    </row>
    <row r="12" spans="1:24" x14ac:dyDescent="0.3">
      <c r="A12" s="58">
        <v>2222</v>
      </c>
      <c r="B12" s="55" t="s">
        <v>21</v>
      </c>
      <c r="C12" s="60">
        <f>I12/H9*C9</f>
        <v>46.888131100035558</v>
      </c>
      <c r="D12" s="60">
        <f>I12/H9*D9</f>
        <v>127.99249032379242</v>
      </c>
      <c r="E12" s="60">
        <f>I12/H9*E9</f>
        <v>47.6017467483247</v>
      </c>
      <c r="F12" s="60">
        <f t="shared" ref="F12:F13" si="0">SUM(C12:E12)</f>
        <v>222.48236817215269</v>
      </c>
      <c r="I12" s="73">
        <f>1712*0.13</f>
        <v>222.56</v>
      </c>
      <c r="J12" s="68"/>
    </row>
    <row r="13" spans="1:24" x14ac:dyDescent="0.3">
      <c r="A13" s="58">
        <v>2223</v>
      </c>
      <c r="B13" s="55" t="s">
        <v>22</v>
      </c>
      <c r="C13" s="60">
        <f>I13/H9*C9</f>
        <v>102.86905397881632</v>
      </c>
      <c r="D13" s="60">
        <f>I13/H9*D9</f>
        <v>280.80595423841373</v>
      </c>
      <c r="E13" s="60">
        <f>I13/H9*E9</f>
        <v>104.4346733567217</v>
      </c>
      <c r="F13" s="60">
        <f t="shared" si="0"/>
        <v>488.10968157395178</v>
      </c>
      <c r="I13" s="73">
        <f>3756*0.13</f>
        <v>488.28000000000003</v>
      </c>
      <c r="J13" s="68"/>
    </row>
    <row r="14" spans="1:24" x14ac:dyDescent="0.3">
      <c r="A14" s="56"/>
      <c r="B14" s="61" t="s">
        <v>23</v>
      </c>
      <c r="C14" s="60">
        <f>SUM(C9:C13)</f>
        <v>830.95581614199364</v>
      </c>
      <c r="D14" s="60">
        <f t="shared" ref="D14:F14" si="1">SUM(D9:D13)</f>
        <v>2268.2948064221846</v>
      </c>
      <c r="E14" s="60">
        <f t="shared" si="1"/>
        <v>843.60257896925759</v>
      </c>
      <c r="F14" s="60">
        <f t="shared" si="1"/>
        <v>3942.8532015334358</v>
      </c>
      <c r="I14" s="73">
        <f>SUM(I10:I13)</f>
        <v>2453.4589999999998</v>
      </c>
    </row>
    <row r="15" spans="1:24" x14ac:dyDescent="0.3">
      <c r="A15" s="56"/>
      <c r="B15" s="55" t="s">
        <v>24</v>
      </c>
      <c r="C15" s="60"/>
      <c r="D15" s="60"/>
      <c r="E15" s="60"/>
      <c r="F15" s="60"/>
    </row>
    <row r="16" spans="1:24" x14ac:dyDescent="0.3">
      <c r="A16" s="58">
        <v>1100</v>
      </c>
      <c r="B16" s="55" t="s">
        <v>25</v>
      </c>
      <c r="C16" s="60">
        <f t="shared" ref="C16:F34" si="2">$V16/$U$9*C$9</f>
        <v>261.09380412682435</v>
      </c>
      <c r="D16" s="60">
        <f t="shared" si="2"/>
        <v>712.71866492199308</v>
      </c>
      <c r="E16" s="60">
        <f t="shared" si="2"/>
        <v>265.06753095118273</v>
      </c>
      <c r="F16" s="60">
        <f t="shared" si="2"/>
        <v>1238.8800000000001</v>
      </c>
      <c r="V16" s="69">
        <v>1238.8800000000001</v>
      </c>
      <c r="W16" s="78">
        <v>1100</v>
      </c>
      <c r="X16" s="69"/>
    </row>
    <row r="17" spans="1:24" ht="31.2" x14ac:dyDescent="0.3">
      <c r="A17" s="58">
        <v>1200</v>
      </c>
      <c r="B17" s="55" t="s">
        <v>26</v>
      </c>
      <c r="C17" s="60">
        <f t="shared" si="2"/>
        <v>61.592028393517872</v>
      </c>
      <c r="D17" s="60">
        <f t="shared" si="2"/>
        <v>168.13033305509816</v>
      </c>
      <c r="E17" s="60">
        <f t="shared" si="2"/>
        <v>62.529430551384003</v>
      </c>
      <c r="F17" s="60">
        <f t="shared" si="2"/>
        <v>292.25179200000002</v>
      </c>
      <c r="V17" s="69">
        <f>V16*0.2359</f>
        <v>292.25179200000002</v>
      </c>
      <c r="W17" s="78">
        <v>1200</v>
      </c>
      <c r="X17" s="69"/>
    </row>
    <row r="18" spans="1:24" x14ac:dyDescent="0.3">
      <c r="A18" s="58">
        <v>2210</v>
      </c>
      <c r="B18" s="55" t="s">
        <v>27</v>
      </c>
      <c r="C18" s="60">
        <f t="shared" si="2"/>
        <v>0.9230844489179667</v>
      </c>
      <c r="D18" s="60">
        <f t="shared" si="2"/>
        <v>2.5197821841972825</v>
      </c>
      <c r="E18" s="60">
        <f t="shared" si="2"/>
        <v>0.93713336688475091</v>
      </c>
      <c r="F18" s="60">
        <f t="shared" si="2"/>
        <v>4.38</v>
      </c>
      <c r="V18" s="31">
        <v>4.38</v>
      </c>
      <c r="W18" s="78">
        <v>2210</v>
      </c>
      <c r="X18" s="31" t="s">
        <v>108</v>
      </c>
    </row>
    <row r="19" spans="1:24" x14ac:dyDescent="0.3">
      <c r="A19" s="58">
        <v>2221</v>
      </c>
      <c r="B19" s="55" t="s">
        <v>28</v>
      </c>
      <c r="C19" s="60">
        <f t="shared" si="2"/>
        <v>0</v>
      </c>
      <c r="D19" s="60">
        <f t="shared" si="2"/>
        <v>0</v>
      </c>
      <c r="E19" s="60">
        <f t="shared" si="2"/>
        <v>0</v>
      </c>
      <c r="F19" s="60">
        <f t="shared" si="2"/>
        <v>0</v>
      </c>
      <c r="V19" s="31">
        <v>0</v>
      </c>
      <c r="W19" s="78">
        <v>2221</v>
      </c>
      <c r="X19" s="31" t="s">
        <v>89</v>
      </c>
    </row>
    <row r="20" spans="1:24" x14ac:dyDescent="0.3">
      <c r="A20" s="58">
        <v>2224</v>
      </c>
      <c r="B20" s="55" t="s">
        <v>29</v>
      </c>
      <c r="C20" s="60">
        <f t="shared" si="2"/>
        <v>2.6196209360845493</v>
      </c>
      <c r="D20" s="60">
        <f t="shared" si="2"/>
        <v>7.1508887099479947</v>
      </c>
      <c r="E20" s="60">
        <f t="shared" si="2"/>
        <v>2.6594903539674548</v>
      </c>
      <c r="F20" s="60">
        <f t="shared" si="2"/>
        <v>12.429999999999998</v>
      </c>
      <c r="V20" s="31">
        <v>12.43</v>
      </c>
      <c r="W20" s="78">
        <v>2224</v>
      </c>
      <c r="X20" s="31" t="s">
        <v>90</v>
      </c>
    </row>
    <row r="21" spans="1:24" x14ac:dyDescent="0.3">
      <c r="A21" s="58">
        <v>2234</v>
      </c>
      <c r="B21" s="55" t="s">
        <v>30</v>
      </c>
      <c r="C21" s="60">
        <f t="shared" si="2"/>
        <v>12.644992450931051</v>
      </c>
      <c r="D21" s="60">
        <f t="shared" si="2"/>
        <v>34.517564167086057</v>
      </c>
      <c r="E21" s="60">
        <f t="shared" si="2"/>
        <v>12.83744338198289</v>
      </c>
      <c r="F21" s="60">
        <f t="shared" si="2"/>
        <v>60</v>
      </c>
      <c r="V21" s="31">
        <f>2*30</f>
        <v>60</v>
      </c>
      <c r="W21" s="78">
        <v>2234</v>
      </c>
      <c r="X21" s="31" t="s">
        <v>91</v>
      </c>
    </row>
    <row r="22" spans="1:24" x14ac:dyDescent="0.3">
      <c r="A22" s="58">
        <v>2235</v>
      </c>
      <c r="B22" s="55" t="s">
        <v>31</v>
      </c>
      <c r="C22" s="60">
        <f t="shared" si="2"/>
        <v>8.4299949672873673</v>
      </c>
      <c r="D22" s="60">
        <f t="shared" si="2"/>
        <v>23.01170944472404</v>
      </c>
      <c r="E22" s="60">
        <f t="shared" si="2"/>
        <v>8.558295587988594</v>
      </c>
      <c r="F22" s="60">
        <f t="shared" si="2"/>
        <v>40</v>
      </c>
      <c r="V22" s="31">
        <f>2*20</f>
        <v>40</v>
      </c>
      <c r="W22" s="78">
        <v>2235</v>
      </c>
      <c r="X22" s="31" t="s">
        <v>92</v>
      </c>
    </row>
    <row r="23" spans="1:24" x14ac:dyDescent="0.3">
      <c r="A23" s="58">
        <v>2243</v>
      </c>
      <c r="B23" s="55" t="s">
        <v>32</v>
      </c>
      <c r="C23" s="60">
        <f t="shared" si="2"/>
        <v>5.1633719174635129</v>
      </c>
      <c r="D23" s="60">
        <f t="shared" si="2"/>
        <v>14.094672034893476</v>
      </c>
      <c r="E23" s="60">
        <f t="shared" si="2"/>
        <v>5.241956047643014</v>
      </c>
      <c r="F23" s="60">
        <f t="shared" si="2"/>
        <v>24.5</v>
      </c>
      <c r="V23" s="31">
        <v>24.5</v>
      </c>
      <c r="W23" s="78">
        <v>2243</v>
      </c>
      <c r="X23" s="31" t="s">
        <v>93</v>
      </c>
    </row>
    <row r="24" spans="1:24" x14ac:dyDescent="0.3">
      <c r="A24" s="58">
        <v>2244</v>
      </c>
      <c r="B24" s="55" t="s">
        <v>33</v>
      </c>
      <c r="C24" s="60">
        <f t="shared" si="2"/>
        <v>0.95680442878711625</v>
      </c>
      <c r="D24" s="60">
        <f t="shared" si="2"/>
        <v>2.6118290219761788</v>
      </c>
      <c r="E24" s="60">
        <f t="shared" si="2"/>
        <v>0.97136654923670529</v>
      </c>
      <c r="F24" s="60">
        <f t="shared" si="2"/>
        <v>4.54</v>
      </c>
      <c r="V24" s="31">
        <v>4.54</v>
      </c>
      <c r="W24" s="78">
        <v>2244</v>
      </c>
      <c r="X24" s="31" t="s">
        <v>94</v>
      </c>
    </row>
    <row r="25" spans="1:24" x14ac:dyDescent="0.3">
      <c r="A25" s="58">
        <v>2247</v>
      </c>
      <c r="B25" s="55" t="s">
        <v>34</v>
      </c>
      <c r="C25" s="60">
        <f t="shared" si="2"/>
        <v>2.7397483643683943E-2</v>
      </c>
      <c r="D25" s="60">
        <f t="shared" si="2"/>
        <v>7.4788055695353128E-2</v>
      </c>
      <c r="E25" s="60">
        <f t="shared" si="2"/>
        <v>2.7814460660962926E-2</v>
      </c>
      <c r="F25" s="60">
        <f t="shared" si="2"/>
        <v>0.13</v>
      </c>
      <c r="V25" s="31">
        <v>0.13</v>
      </c>
      <c r="W25" s="78">
        <v>2247</v>
      </c>
      <c r="X25" s="31" t="s">
        <v>95</v>
      </c>
    </row>
    <row r="26" spans="1:24" x14ac:dyDescent="0.3">
      <c r="A26" s="58">
        <v>2251</v>
      </c>
      <c r="B26" s="55" t="s">
        <v>35</v>
      </c>
      <c r="C26" s="60">
        <f t="shared" si="2"/>
        <v>0</v>
      </c>
      <c r="D26" s="60">
        <f t="shared" si="2"/>
        <v>0</v>
      </c>
      <c r="E26" s="60">
        <f t="shared" si="2"/>
        <v>0</v>
      </c>
      <c r="F26" s="60">
        <f t="shared" si="2"/>
        <v>0</v>
      </c>
      <c r="V26" s="31">
        <v>0</v>
      </c>
      <c r="W26" s="78">
        <v>2251</v>
      </c>
      <c r="X26" s="31" t="s">
        <v>96</v>
      </c>
    </row>
    <row r="27" spans="1:24" x14ac:dyDescent="0.3">
      <c r="A27" s="58">
        <v>2311</v>
      </c>
      <c r="B27" s="55" t="s">
        <v>36</v>
      </c>
      <c r="C27" s="60">
        <f t="shared" si="2"/>
        <v>0.920976950176145</v>
      </c>
      <c r="D27" s="60">
        <f t="shared" si="2"/>
        <v>2.5140292568361016</v>
      </c>
      <c r="E27" s="60">
        <f t="shared" si="2"/>
        <v>0.93499379298775387</v>
      </c>
      <c r="F27" s="60">
        <f t="shared" si="2"/>
        <v>4.37</v>
      </c>
      <c r="V27" s="31">
        <v>4.37</v>
      </c>
      <c r="W27" s="78">
        <v>2311</v>
      </c>
      <c r="X27" s="31" t="s">
        <v>97</v>
      </c>
    </row>
    <row r="28" spans="1:24" x14ac:dyDescent="0.3">
      <c r="A28" s="58">
        <v>2312</v>
      </c>
      <c r="B28" s="55" t="s">
        <v>37</v>
      </c>
      <c r="C28" s="60">
        <f t="shared" si="2"/>
        <v>6.6449435329642679</v>
      </c>
      <c r="D28" s="60">
        <f t="shared" si="2"/>
        <v>18.138979969803728</v>
      </c>
      <c r="E28" s="60">
        <f t="shared" si="2"/>
        <v>6.7460764972320089</v>
      </c>
      <c r="F28" s="60">
        <f t="shared" si="2"/>
        <v>31.53</v>
      </c>
      <c r="V28" s="31">
        <v>31.53</v>
      </c>
      <c r="W28" s="78">
        <v>2312</v>
      </c>
      <c r="X28" s="31" t="s">
        <v>98</v>
      </c>
    </row>
    <row r="29" spans="1:24" x14ac:dyDescent="0.3">
      <c r="A29" s="58">
        <v>2321</v>
      </c>
      <c r="B29" s="55" t="s">
        <v>38</v>
      </c>
      <c r="C29" s="60">
        <f t="shared" si="2"/>
        <v>11.5111581278309</v>
      </c>
      <c r="D29" s="60">
        <f t="shared" si="2"/>
        <v>31.422489246770674</v>
      </c>
      <c r="E29" s="60">
        <f t="shared" si="2"/>
        <v>11.686352625398422</v>
      </c>
      <c r="F29" s="60">
        <f t="shared" si="2"/>
        <v>54.61999999999999</v>
      </c>
      <c r="V29" s="31">
        <v>54.62</v>
      </c>
      <c r="W29" s="78">
        <v>2321</v>
      </c>
      <c r="X29" s="31" t="s">
        <v>99</v>
      </c>
    </row>
    <row r="30" spans="1:24" x14ac:dyDescent="0.3">
      <c r="A30" s="58">
        <v>2341</v>
      </c>
      <c r="B30" s="55" t="s">
        <v>39</v>
      </c>
      <c r="C30" s="60">
        <f t="shared" si="2"/>
        <v>1.0537493709109211E-2</v>
      </c>
      <c r="D30" s="60">
        <f t="shared" si="2"/>
        <v>2.8764636805905054E-2</v>
      </c>
      <c r="E30" s="60">
        <f t="shared" si="2"/>
        <v>1.0697869484985743E-2</v>
      </c>
      <c r="F30" s="60">
        <f t="shared" si="2"/>
        <v>0.05</v>
      </c>
      <c r="V30" s="31">
        <v>0.05</v>
      </c>
      <c r="W30" s="78" t="s">
        <v>104</v>
      </c>
      <c r="X30" s="31" t="s">
        <v>100</v>
      </c>
    </row>
    <row r="31" spans="1:24" x14ac:dyDescent="0.3">
      <c r="A31" s="58">
        <v>2351</v>
      </c>
      <c r="B31" s="55" t="s">
        <v>40</v>
      </c>
      <c r="C31" s="60">
        <f t="shared" si="2"/>
        <v>3.3825354806240564</v>
      </c>
      <c r="D31" s="60">
        <f t="shared" si="2"/>
        <v>9.2334484146955216</v>
      </c>
      <c r="E31" s="60">
        <f t="shared" si="2"/>
        <v>3.4340161046804232</v>
      </c>
      <c r="F31" s="60">
        <f t="shared" si="2"/>
        <v>16.05</v>
      </c>
      <c r="V31" s="31">
        <v>16.05</v>
      </c>
      <c r="W31" s="78" t="s">
        <v>102</v>
      </c>
      <c r="X31" s="31" t="s">
        <v>97</v>
      </c>
    </row>
    <row r="32" spans="1:24" x14ac:dyDescent="0.3">
      <c r="A32" s="58">
        <v>2352</v>
      </c>
      <c r="B32" s="55" t="s">
        <v>41</v>
      </c>
      <c r="C32" s="60">
        <f t="shared" si="2"/>
        <v>0.92729944640161055</v>
      </c>
      <c r="D32" s="60">
        <f t="shared" si="2"/>
        <v>2.5312880389196448</v>
      </c>
      <c r="E32" s="60">
        <f t="shared" si="2"/>
        <v>0.94141251467874543</v>
      </c>
      <c r="F32" s="60">
        <f t="shared" si="2"/>
        <v>4.4000000000000004</v>
      </c>
      <c r="V32" s="31">
        <v>4.4000000000000004</v>
      </c>
      <c r="W32" s="78" t="s">
        <v>103</v>
      </c>
      <c r="X32" s="31" t="s">
        <v>98</v>
      </c>
    </row>
    <row r="33" spans="1:24" x14ac:dyDescent="0.3">
      <c r="A33" s="58">
        <v>2362</v>
      </c>
      <c r="B33" s="55" t="s">
        <v>42</v>
      </c>
      <c r="C33" s="60">
        <f t="shared" si="2"/>
        <v>2.3877960744841467</v>
      </c>
      <c r="D33" s="60">
        <f t="shared" si="2"/>
        <v>6.5180667002180845</v>
      </c>
      <c r="E33" s="60">
        <f t="shared" si="2"/>
        <v>2.4241372252977689</v>
      </c>
      <c r="F33" s="60">
        <f t="shared" si="2"/>
        <v>11.33</v>
      </c>
      <c r="V33" s="31">
        <v>11.33</v>
      </c>
      <c r="W33" s="78">
        <v>2362</v>
      </c>
      <c r="X33" s="31" t="s">
        <v>101</v>
      </c>
    </row>
    <row r="34" spans="1:24" x14ac:dyDescent="0.3">
      <c r="A34" s="58" t="s">
        <v>13</v>
      </c>
      <c r="B34" s="55" t="s">
        <v>43</v>
      </c>
      <c r="C34" s="60">
        <f t="shared" si="2"/>
        <v>0</v>
      </c>
      <c r="D34" s="60">
        <f t="shared" si="2"/>
        <v>0</v>
      </c>
      <c r="E34" s="60">
        <f t="shared" si="2"/>
        <v>0</v>
      </c>
      <c r="F34" s="60">
        <f t="shared" si="2"/>
        <v>0</v>
      </c>
      <c r="V34" s="31">
        <v>0</v>
      </c>
      <c r="W34" s="31">
        <v>5239</v>
      </c>
      <c r="X34" s="31" t="s">
        <v>43</v>
      </c>
    </row>
    <row r="35" spans="1:24" x14ac:dyDescent="0.3">
      <c r="A35" s="56"/>
      <c r="B35" s="61" t="s">
        <v>44</v>
      </c>
      <c r="C35" s="60">
        <f>SUM(C16:C34)</f>
        <v>379.23634625964775</v>
      </c>
      <c r="D35" s="60">
        <f t="shared" ref="D35:F35" si="3">SUM(D16:D34)</f>
        <v>1035.2172978596614</v>
      </c>
      <c r="E35" s="60">
        <f t="shared" si="3"/>
        <v>385.00814788069118</v>
      </c>
      <c r="F35" s="60">
        <f t="shared" si="3"/>
        <v>1799.4617920000001</v>
      </c>
    </row>
    <row r="36" spans="1:24" ht="15.75" customHeight="1" x14ac:dyDescent="0.3">
      <c r="A36" s="55"/>
      <c r="B36" s="55" t="s">
        <v>45</v>
      </c>
      <c r="C36" s="60">
        <f>C14+C35</f>
        <v>1210.1921624016413</v>
      </c>
      <c r="D36" s="60">
        <f t="shared" ref="D36:F36" si="4">D14+D35</f>
        <v>3303.512104281846</v>
      </c>
      <c r="E36" s="60">
        <f t="shared" si="4"/>
        <v>1228.6107268499488</v>
      </c>
      <c r="F36" s="60">
        <f t="shared" si="4"/>
        <v>5742.3149935334359</v>
      </c>
    </row>
    <row r="37" spans="1:24" ht="23.25" customHeight="1" x14ac:dyDescent="0.3">
      <c r="A37" s="55"/>
      <c r="B37" s="55" t="s">
        <v>46</v>
      </c>
      <c r="C37" s="62">
        <v>708</v>
      </c>
      <c r="D37" s="62">
        <v>1050</v>
      </c>
      <c r="E37" s="62">
        <v>734</v>
      </c>
      <c r="F37" s="62" t="s">
        <v>47</v>
      </c>
    </row>
    <row r="38" spans="1:24" ht="45.75" customHeight="1" x14ac:dyDescent="0.3">
      <c r="A38" s="55"/>
      <c r="B38" s="55" t="s">
        <v>123</v>
      </c>
      <c r="C38" s="60">
        <f>C14/C37</f>
        <v>1.173666406980217</v>
      </c>
      <c r="D38" s="63">
        <f t="shared" ref="D38:E38" si="5">D14/D37</f>
        <v>2.1602807680211282</v>
      </c>
      <c r="E38" s="60">
        <f t="shared" si="5"/>
        <v>1.1493223146720131</v>
      </c>
      <c r="F38" s="60">
        <f>SUM(C38:E38)</f>
        <v>4.4832694896733578</v>
      </c>
    </row>
    <row r="39" spans="1:24" ht="44.25" customHeight="1" x14ac:dyDescent="0.3">
      <c r="A39" s="55"/>
      <c r="B39" s="55" t="s">
        <v>125</v>
      </c>
      <c r="C39" s="59">
        <f>C9/C37</f>
        <v>0.44360169491525425</v>
      </c>
      <c r="D39" s="59">
        <f>D9/D37</f>
        <v>0.81650476190476196</v>
      </c>
      <c r="E39" s="59">
        <f>E9/E37</f>
        <v>0.43440054495912811</v>
      </c>
      <c r="F39" s="59">
        <f>SUM(C39:E39)</f>
        <v>1.6945070017791444</v>
      </c>
    </row>
  </sheetData>
  <mergeCells count="3">
    <mergeCell ref="C6:F6"/>
    <mergeCell ref="A6:B6"/>
    <mergeCell ref="B1:F1"/>
  </mergeCells>
  <pageMargins left="0.7" right="0.7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E156-9FF5-4611-B923-FB6580E80B03}">
  <dimension ref="A1:Y39"/>
  <sheetViews>
    <sheetView zoomScale="98" zoomScaleNormal="98" workbookViewId="0">
      <selection sqref="A1:F1"/>
    </sheetView>
  </sheetViews>
  <sheetFormatPr defaultColWidth="9.109375" defaultRowHeight="15.6" x14ac:dyDescent="0.3"/>
  <cols>
    <col min="1" max="1" width="10.6640625" style="76" customWidth="1"/>
    <col min="2" max="2" width="62.109375" style="79" customWidth="1"/>
    <col min="3" max="3" width="12.33203125" style="76" customWidth="1"/>
    <col min="4" max="5" width="9.109375" style="76"/>
    <col min="6" max="6" width="11" style="76" customWidth="1"/>
    <col min="7" max="9" width="9.109375" style="73" hidden="1" customWidth="1"/>
    <col min="10" max="10" width="36.88671875" style="73" hidden="1" customWidth="1"/>
    <col min="11" max="25" width="9.109375" style="75"/>
    <col min="26" max="16384" width="9.109375" style="76"/>
  </cols>
  <sheetData>
    <row r="1" spans="1:25" s="70" customFormat="1" ht="63" customHeight="1" x14ac:dyDescent="0.3">
      <c r="A1" s="14" t="s">
        <v>142</v>
      </c>
      <c r="B1" s="14"/>
      <c r="C1" s="14"/>
      <c r="D1" s="14"/>
      <c r="E1" s="14"/>
      <c r="F1" s="14"/>
      <c r="G1" s="72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s="70" customFormat="1" x14ac:dyDescent="0.3">
      <c r="A2" s="65"/>
      <c r="B2" s="65"/>
      <c r="G2" s="68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s="70" customFormat="1" x14ac:dyDescent="0.3">
      <c r="A3" s="64" t="s">
        <v>14</v>
      </c>
      <c r="B3" s="65"/>
      <c r="G3" s="68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s="70" customFormat="1" x14ac:dyDescent="0.3">
      <c r="A4" s="16" t="s">
        <v>126</v>
      </c>
      <c r="B4" s="66"/>
      <c r="G4" s="68"/>
      <c r="H4" s="68"/>
      <c r="I4" s="68"/>
      <c r="J4" s="68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6" spans="1:25" ht="46.8" x14ac:dyDescent="0.3">
      <c r="A6" s="9" t="s">
        <v>124</v>
      </c>
      <c r="B6" s="8"/>
      <c r="C6" s="11" t="s">
        <v>0</v>
      </c>
      <c r="D6" s="11"/>
      <c r="E6" s="11"/>
      <c r="F6" s="11"/>
      <c r="H6" s="74" t="s">
        <v>82</v>
      </c>
      <c r="I6" s="74" t="s">
        <v>80</v>
      </c>
    </row>
    <row r="7" spans="1:25" ht="26.25" customHeight="1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</row>
    <row r="8" spans="1:25" x14ac:dyDescent="0.3">
      <c r="A8" s="56"/>
      <c r="B8" s="55" t="s">
        <v>17</v>
      </c>
      <c r="C8" s="56"/>
      <c r="D8" s="56"/>
      <c r="E8" s="56"/>
      <c r="F8" s="56"/>
    </row>
    <row r="9" spans="1:25" x14ac:dyDescent="0.3">
      <c r="A9" s="58">
        <v>2363</v>
      </c>
      <c r="B9" s="55" t="s">
        <v>18</v>
      </c>
      <c r="C9" s="59">
        <v>213.78</v>
      </c>
      <c r="D9" s="59">
        <v>651.07000000000005</v>
      </c>
      <c r="E9" s="59">
        <v>187.75</v>
      </c>
      <c r="F9" s="59">
        <f>C9+D9+E9</f>
        <v>1052.5999999999999</v>
      </c>
      <c r="H9" s="77">
        <v>1078.3599999999999</v>
      </c>
      <c r="U9" s="80">
        <v>1078.3599999999999</v>
      </c>
    </row>
    <row r="10" spans="1:25" x14ac:dyDescent="0.3">
      <c r="A10" s="58">
        <v>1100</v>
      </c>
      <c r="B10" s="55" t="s">
        <v>19</v>
      </c>
      <c r="C10" s="60">
        <f>I10/H9*C9</f>
        <v>265.84719388701365</v>
      </c>
      <c r="D10" s="60">
        <f>I10/H9*D9</f>
        <v>809.64137208353441</v>
      </c>
      <c r="E10" s="60">
        <f>I10/H9*E9</f>
        <v>233.47745650803074</v>
      </c>
      <c r="F10" s="60">
        <f>SUM(C10:E10)</f>
        <v>1308.9660224785789</v>
      </c>
      <c r="I10" s="73">
        <v>1341</v>
      </c>
    </row>
    <row r="11" spans="1:25" ht="31.2" x14ac:dyDescent="0.3">
      <c r="A11" s="58">
        <v>1200</v>
      </c>
      <c r="B11" s="55" t="s">
        <v>20</v>
      </c>
      <c r="C11" s="60">
        <f>I11/H9*C9</f>
        <v>62.713353037946518</v>
      </c>
      <c r="D11" s="60">
        <f>I11/H9*D9</f>
        <v>190.99439967450576</v>
      </c>
      <c r="E11" s="60">
        <f>I11/H9*E9</f>
        <v>55.077331990244446</v>
      </c>
      <c r="F11" s="60">
        <f>SUM(C11:E11)</f>
        <v>308.78508470269674</v>
      </c>
      <c r="I11" s="73">
        <f>I10*0.2359</f>
        <v>316.34190000000001</v>
      </c>
    </row>
    <row r="12" spans="1:25" x14ac:dyDescent="0.3">
      <c r="A12" s="58">
        <v>2222</v>
      </c>
      <c r="B12" s="55" t="s">
        <v>21</v>
      </c>
      <c r="C12" s="60">
        <f>I12/H9*C9</f>
        <v>22.885458659445828</v>
      </c>
      <c r="D12" s="60">
        <f>I12/H9*D9</f>
        <v>69.69798657220224</v>
      </c>
      <c r="E12" s="60">
        <f>I12/H9*E9</f>
        <v>20.098909455098482</v>
      </c>
      <c r="F12" s="60">
        <f t="shared" ref="F12:F13" si="0">SUM(C12:E12)</f>
        <v>112.68235468674655</v>
      </c>
      <c r="I12" s="73">
        <f>888*0.13</f>
        <v>115.44</v>
      </c>
      <c r="J12" s="68"/>
    </row>
    <row r="13" spans="1:25" x14ac:dyDescent="0.3">
      <c r="A13" s="58">
        <v>2223</v>
      </c>
      <c r="B13" s="55" t="s">
        <v>22</v>
      </c>
      <c r="C13" s="60">
        <f>I13/H9*C9</f>
        <v>84.557646240587573</v>
      </c>
      <c r="D13" s="60">
        <f>I13/H9*D9</f>
        <v>257.52150218850852</v>
      </c>
      <c r="E13" s="60">
        <f>I13/H9*E9</f>
        <v>74.261849011461862</v>
      </c>
      <c r="F13" s="60">
        <f t="shared" si="0"/>
        <v>416.340997440558</v>
      </c>
      <c r="I13" s="73">
        <f>3281*0.13</f>
        <v>426.53000000000003</v>
      </c>
      <c r="J13" s="68"/>
    </row>
    <row r="14" spans="1:25" x14ac:dyDescent="0.3">
      <c r="A14" s="56"/>
      <c r="B14" s="61" t="s">
        <v>23</v>
      </c>
      <c r="C14" s="60">
        <f>SUM(C9:C13)</f>
        <v>649.78365182499351</v>
      </c>
      <c r="D14" s="60">
        <f t="shared" ref="D14:F14" si="1">SUM(D9:D13)</f>
        <v>1978.925260518751</v>
      </c>
      <c r="E14" s="60">
        <f t="shared" si="1"/>
        <v>570.66554696483547</v>
      </c>
      <c r="F14" s="60">
        <f t="shared" si="1"/>
        <v>3199.3744593085803</v>
      </c>
      <c r="I14" s="73">
        <f>SUM(I10:I13)</f>
        <v>2199.3119000000002</v>
      </c>
    </row>
    <row r="15" spans="1:25" x14ac:dyDescent="0.3">
      <c r="A15" s="56"/>
      <c r="B15" s="55" t="s">
        <v>24</v>
      </c>
      <c r="C15" s="60"/>
      <c r="D15" s="60"/>
      <c r="E15" s="60"/>
      <c r="F15" s="60"/>
    </row>
    <row r="16" spans="1:25" x14ac:dyDescent="0.3">
      <c r="A16" s="58">
        <v>1100</v>
      </c>
      <c r="B16" s="55" t="s">
        <v>25</v>
      </c>
      <c r="C16" s="60">
        <f t="shared" ref="C16:F34" si="2">$V16/$U$9*C$9</f>
        <v>245.60236507288849</v>
      </c>
      <c r="D16" s="60">
        <f t="shared" si="2"/>
        <v>747.98546088504781</v>
      </c>
      <c r="E16" s="60">
        <f t="shared" si="2"/>
        <v>215.697651990059</v>
      </c>
      <c r="F16" s="60">
        <f t="shared" si="2"/>
        <v>1209.2854779479951</v>
      </c>
      <c r="V16" s="69">
        <v>1238.8800000000001</v>
      </c>
      <c r="W16" s="78">
        <v>1100</v>
      </c>
      <c r="X16" s="69"/>
    </row>
    <row r="17" spans="1:24" ht="31.2" x14ac:dyDescent="0.3">
      <c r="A17" s="58">
        <v>1200</v>
      </c>
      <c r="B17" s="55" t="s">
        <v>26</v>
      </c>
      <c r="C17" s="60">
        <f t="shared" si="2"/>
        <v>57.937597920694401</v>
      </c>
      <c r="D17" s="60">
        <f t="shared" si="2"/>
        <v>176.4497702227828</v>
      </c>
      <c r="E17" s="60">
        <f t="shared" si="2"/>
        <v>50.883076104454922</v>
      </c>
      <c r="F17" s="60">
        <f t="shared" si="2"/>
        <v>285.27044424793206</v>
      </c>
      <c r="V17" s="69">
        <f>V16*0.2359</f>
        <v>292.25179200000002</v>
      </c>
      <c r="W17" s="78">
        <v>1200</v>
      </c>
      <c r="X17" s="69"/>
    </row>
    <row r="18" spans="1:24" x14ac:dyDescent="0.3">
      <c r="A18" s="58">
        <v>2210</v>
      </c>
      <c r="B18" s="55" t="s">
        <v>27</v>
      </c>
      <c r="C18" s="60">
        <f t="shared" si="2"/>
        <v>1.2429991839459922</v>
      </c>
      <c r="D18" s="60">
        <f t="shared" si="2"/>
        <v>3.785571516005787</v>
      </c>
      <c r="E18" s="60">
        <f t="shared" si="2"/>
        <v>1.0916507474312847</v>
      </c>
      <c r="F18" s="60">
        <f t="shared" si="2"/>
        <v>6.120221447383063</v>
      </c>
      <c r="V18" s="31">
        <v>6.27</v>
      </c>
      <c r="W18" s="78">
        <v>2210</v>
      </c>
      <c r="X18" s="31" t="s">
        <v>108</v>
      </c>
    </row>
    <row r="19" spans="1:24" x14ac:dyDescent="0.3">
      <c r="A19" s="58">
        <v>2221</v>
      </c>
      <c r="B19" s="55" t="s">
        <v>28</v>
      </c>
      <c r="C19" s="60">
        <f t="shared" si="2"/>
        <v>0</v>
      </c>
      <c r="D19" s="60">
        <f t="shared" si="2"/>
        <v>0</v>
      </c>
      <c r="E19" s="60">
        <f t="shared" si="2"/>
        <v>0</v>
      </c>
      <c r="F19" s="60">
        <f t="shared" si="2"/>
        <v>0</v>
      </c>
      <c r="V19" s="31">
        <v>0</v>
      </c>
      <c r="W19" s="78">
        <v>2221</v>
      </c>
      <c r="X19" s="31" t="s">
        <v>89</v>
      </c>
    </row>
    <row r="20" spans="1:24" x14ac:dyDescent="0.3">
      <c r="A20" s="58">
        <v>2224</v>
      </c>
      <c r="B20" s="55" t="s">
        <v>29</v>
      </c>
      <c r="C20" s="60">
        <f t="shared" si="2"/>
        <v>0.79298193553173346</v>
      </c>
      <c r="D20" s="60">
        <f t="shared" si="2"/>
        <v>2.4150376497644577</v>
      </c>
      <c r="E20" s="60">
        <f t="shared" si="2"/>
        <v>0.69642790904707152</v>
      </c>
      <c r="F20" s="60">
        <f t="shared" si="2"/>
        <v>3.9044474943432621</v>
      </c>
      <c r="V20" s="31">
        <v>4</v>
      </c>
      <c r="W20" s="78">
        <v>2224</v>
      </c>
      <c r="X20" s="31" t="s">
        <v>90</v>
      </c>
    </row>
    <row r="21" spans="1:24" x14ac:dyDescent="0.3">
      <c r="A21" s="58">
        <v>2234</v>
      </c>
      <c r="B21" s="55" t="s">
        <v>30</v>
      </c>
      <c r="C21" s="60">
        <f t="shared" si="2"/>
        <v>11.894729032976002</v>
      </c>
      <c r="D21" s="60">
        <f t="shared" si="2"/>
        <v>36.225564746466866</v>
      </c>
      <c r="E21" s="60">
        <f t="shared" si="2"/>
        <v>10.446418635706072</v>
      </c>
      <c r="F21" s="60">
        <f t="shared" si="2"/>
        <v>58.566712415148928</v>
      </c>
      <c r="V21" s="31">
        <f>2*30</f>
        <v>60</v>
      </c>
      <c r="W21" s="78">
        <v>2234</v>
      </c>
      <c r="X21" s="31" t="s">
        <v>91</v>
      </c>
    </row>
    <row r="22" spans="1:24" x14ac:dyDescent="0.3">
      <c r="A22" s="58">
        <v>2235</v>
      </c>
      <c r="B22" s="55" t="s">
        <v>31</v>
      </c>
      <c r="C22" s="60">
        <f t="shared" si="2"/>
        <v>7.929819355317334</v>
      </c>
      <c r="D22" s="60">
        <f t="shared" si="2"/>
        <v>24.150376497644572</v>
      </c>
      <c r="E22" s="60">
        <f t="shared" si="2"/>
        <v>6.9642790904707148</v>
      </c>
      <c r="F22" s="60">
        <f t="shared" si="2"/>
        <v>39.044474943432618</v>
      </c>
      <c r="V22" s="31">
        <f>2*20</f>
        <v>40</v>
      </c>
      <c r="W22" s="78">
        <v>2235</v>
      </c>
      <c r="X22" s="31" t="s">
        <v>92</v>
      </c>
    </row>
    <row r="23" spans="1:24" x14ac:dyDescent="0.3">
      <c r="A23" s="58">
        <v>2243</v>
      </c>
      <c r="B23" s="55" t="s">
        <v>32</v>
      </c>
      <c r="C23" s="60">
        <f t="shared" si="2"/>
        <v>6.1119082681108354</v>
      </c>
      <c r="D23" s="60">
        <f t="shared" si="2"/>
        <v>18.613902685559555</v>
      </c>
      <c r="E23" s="60">
        <f t="shared" si="2"/>
        <v>5.3677181089803039</v>
      </c>
      <c r="F23" s="60">
        <f t="shared" si="2"/>
        <v>30.093529062650692</v>
      </c>
      <c r="V23" s="31">
        <v>30.83</v>
      </c>
      <c r="W23" s="78">
        <v>2243</v>
      </c>
      <c r="X23" s="31" t="s">
        <v>93</v>
      </c>
    </row>
    <row r="24" spans="1:24" x14ac:dyDescent="0.3">
      <c r="A24" s="58">
        <v>2244</v>
      </c>
      <c r="B24" s="55" t="s">
        <v>33</v>
      </c>
      <c r="C24" s="60">
        <f t="shared" si="2"/>
        <v>0.74936792907748806</v>
      </c>
      <c r="D24" s="60">
        <f t="shared" si="2"/>
        <v>2.2822105790274123</v>
      </c>
      <c r="E24" s="60">
        <f t="shared" si="2"/>
        <v>0.65812437404948265</v>
      </c>
      <c r="F24" s="60">
        <f t="shared" si="2"/>
        <v>3.6897028821543825</v>
      </c>
      <c r="V24" s="31">
        <v>3.78</v>
      </c>
      <c r="W24" s="78">
        <v>2244</v>
      </c>
      <c r="X24" s="31" t="s">
        <v>94</v>
      </c>
    </row>
    <row r="25" spans="1:24" x14ac:dyDescent="0.3">
      <c r="A25" s="58">
        <v>2247</v>
      </c>
      <c r="B25" s="55" t="s">
        <v>34</v>
      </c>
      <c r="C25" s="60">
        <f t="shared" si="2"/>
        <v>3.3701732260098677E-2</v>
      </c>
      <c r="D25" s="60">
        <f t="shared" si="2"/>
        <v>0.10263910011498946</v>
      </c>
      <c r="E25" s="60">
        <f t="shared" si="2"/>
        <v>2.9598186134500545E-2</v>
      </c>
      <c r="F25" s="60">
        <f t="shared" si="2"/>
        <v>0.16593901850958864</v>
      </c>
      <c r="V25" s="31">
        <v>0.17</v>
      </c>
      <c r="W25" s="78">
        <v>2247</v>
      </c>
      <c r="X25" s="31" t="s">
        <v>95</v>
      </c>
    </row>
    <row r="26" spans="1:24" x14ac:dyDescent="0.3">
      <c r="A26" s="58">
        <v>2251</v>
      </c>
      <c r="B26" s="55" t="s">
        <v>35</v>
      </c>
      <c r="C26" s="60">
        <f t="shared" si="2"/>
        <v>0</v>
      </c>
      <c r="D26" s="60">
        <f t="shared" si="2"/>
        <v>0</v>
      </c>
      <c r="E26" s="60">
        <f t="shared" si="2"/>
        <v>0</v>
      </c>
      <c r="F26" s="60">
        <f t="shared" si="2"/>
        <v>0</v>
      </c>
      <c r="V26" s="31">
        <v>0</v>
      </c>
      <c r="W26" s="78">
        <v>2251</v>
      </c>
      <c r="X26" s="31" t="s">
        <v>96</v>
      </c>
    </row>
    <row r="27" spans="1:24" x14ac:dyDescent="0.3">
      <c r="A27" s="58">
        <v>2311</v>
      </c>
      <c r="B27" s="55" t="s">
        <v>36</v>
      </c>
      <c r="C27" s="60">
        <f t="shared" si="2"/>
        <v>0.30331559034088806</v>
      </c>
      <c r="D27" s="60">
        <f t="shared" si="2"/>
        <v>0.92375190103490501</v>
      </c>
      <c r="E27" s="60">
        <f t="shared" si="2"/>
        <v>0.26638367521050488</v>
      </c>
      <c r="F27" s="60">
        <f t="shared" si="2"/>
        <v>1.4934511665862977</v>
      </c>
      <c r="V27" s="31">
        <v>1.53</v>
      </c>
      <c r="W27" s="78">
        <v>2311</v>
      </c>
      <c r="X27" s="31" t="s">
        <v>97</v>
      </c>
    </row>
    <row r="28" spans="1:24" x14ac:dyDescent="0.3">
      <c r="A28" s="58">
        <v>2312</v>
      </c>
      <c r="B28" s="55" t="s">
        <v>37</v>
      </c>
      <c r="C28" s="60">
        <f t="shared" si="2"/>
        <v>0.56103471938870142</v>
      </c>
      <c r="D28" s="60">
        <f t="shared" si="2"/>
        <v>1.7086391372083536</v>
      </c>
      <c r="E28" s="60">
        <f t="shared" si="2"/>
        <v>0.4927227456508031</v>
      </c>
      <c r="F28" s="60">
        <f t="shared" si="2"/>
        <v>2.7623966022478577</v>
      </c>
      <c r="V28" s="31">
        <v>2.83</v>
      </c>
      <c r="W28" s="78">
        <v>2312</v>
      </c>
      <c r="X28" s="31" t="s">
        <v>98</v>
      </c>
    </row>
    <row r="29" spans="1:24" x14ac:dyDescent="0.3">
      <c r="A29" s="58">
        <v>2321</v>
      </c>
      <c r="B29" s="55" t="s">
        <v>38</v>
      </c>
      <c r="C29" s="60">
        <f t="shared" si="2"/>
        <v>13.859341778255869</v>
      </c>
      <c r="D29" s="60">
        <f t="shared" si="2"/>
        <v>42.208820523758298</v>
      </c>
      <c r="E29" s="60">
        <f t="shared" si="2"/>
        <v>12.171818780370192</v>
      </c>
      <c r="F29" s="60">
        <f t="shared" si="2"/>
        <v>68.239981082384347</v>
      </c>
      <c r="V29" s="31">
        <v>69.91</v>
      </c>
      <c r="W29" s="78">
        <v>2321</v>
      </c>
      <c r="X29" s="31" t="s">
        <v>99</v>
      </c>
    </row>
    <row r="30" spans="1:24" x14ac:dyDescent="0.3">
      <c r="A30" s="58">
        <v>2341</v>
      </c>
      <c r="B30" s="55" t="s">
        <v>39</v>
      </c>
      <c r="C30" s="60">
        <f t="shared" si="2"/>
        <v>1.5859638710634668E-2</v>
      </c>
      <c r="D30" s="60">
        <f t="shared" si="2"/>
        <v>4.8300752995289152E-2</v>
      </c>
      <c r="E30" s="60">
        <f t="shared" si="2"/>
        <v>1.3928558180941431E-2</v>
      </c>
      <c r="F30" s="60">
        <f t="shared" si="2"/>
        <v>7.8088949886865239E-2</v>
      </c>
      <c r="V30" s="31">
        <v>0.08</v>
      </c>
      <c r="W30" s="78" t="s">
        <v>104</v>
      </c>
      <c r="X30" s="31" t="s">
        <v>100</v>
      </c>
    </row>
    <row r="31" spans="1:24" x14ac:dyDescent="0.3">
      <c r="A31" s="58">
        <v>2351</v>
      </c>
      <c r="B31" s="55" t="s">
        <v>40</v>
      </c>
      <c r="C31" s="60">
        <f t="shared" si="2"/>
        <v>1.3361745613709708</v>
      </c>
      <c r="D31" s="60">
        <f t="shared" si="2"/>
        <v>4.0693384398531105</v>
      </c>
      <c r="E31" s="60">
        <f t="shared" si="2"/>
        <v>1.1734810267443154</v>
      </c>
      <c r="F31" s="60">
        <f t="shared" si="2"/>
        <v>6.5789940279683963</v>
      </c>
      <c r="V31" s="31">
        <v>6.74</v>
      </c>
      <c r="W31" s="78" t="s">
        <v>102</v>
      </c>
      <c r="X31" s="31" t="s">
        <v>97</v>
      </c>
    </row>
    <row r="32" spans="1:24" x14ac:dyDescent="0.3">
      <c r="A32" s="58">
        <v>2352</v>
      </c>
      <c r="B32" s="55" t="s">
        <v>41</v>
      </c>
      <c r="C32" s="60">
        <f t="shared" si="2"/>
        <v>0.45001724841425872</v>
      </c>
      <c r="D32" s="60">
        <f t="shared" si="2"/>
        <v>1.3705338662413296</v>
      </c>
      <c r="E32" s="60">
        <f t="shared" si="2"/>
        <v>0.39522283838421313</v>
      </c>
      <c r="F32" s="60">
        <f t="shared" si="2"/>
        <v>2.2157739530398013</v>
      </c>
      <c r="V32" s="31">
        <v>2.27</v>
      </c>
      <c r="W32" s="78" t="s">
        <v>103</v>
      </c>
      <c r="X32" s="31" t="s">
        <v>98</v>
      </c>
    </row>
    <row r="33" spans="1:24" x14ac:dyDescent="0.3">
      <c r="A33" s="58">
        <v>2362</v>
      </c>
      <c r="B33" s="55" t="s">
        <v>42</v>
      </c>
      <c r="C33" s="60">
        <f t="shared" si="2"/>
        <v>1.1240518936162323</v>
      </c>
      <c r="D33" s="60">
        <f t="shared" si="2"/>
        <v>3.4233158685411187</v>
      </c>
      <c r="E33" s="60">
        <f t="shared" si="2"/>
        <v>0.98718656107422387</v>
      </c>
      <c r="F33" s="60">
        <f t="shared" si="2"/>
        <v>5.5345543232315739</v>
      </c>
      <c r="V33" s="31">
        <v>5.67</v>
      </c>
      <c r="W33" s="78">
        <v>2362</v>
      </c>
      <c r="X33" s="31" t="s">
        <v>101</v>
      </c>
    </row>
    <row r="34" spans="1:24" x14ac:dyDescent="0.3">
      <c r="A34" s="58" t="s">
        <v>13</v>
      </c>
      <c r="B34" s="55" t="s">
        <v>43</v>
      </c>
      <c r="C34" s="60">
        <f t="shared" si="2"/>
        <v>0</v>
      </c>
      <c r="D34" s="60">
        <f t="shared" si="2"/>
        <v>0</v>
      </c>
      <c r="E34" s="60">
        <f t="shared" si="2"/>
        <v>0</v>
      </c>
      <c r="F34" s="60">
        <f t="shared" si="2"/>
        <v>0</v>
      </c>
      <c r="V34" s="31">
        <v>0</v>
      </c>
      <c r="W34" s="31">
        <v>5239</v>
      </c>
      <c r="X34" s="31" t="s">
        <v>43</v>
      </c>
    </row>
    <row r="35" spans="1:24" x14ac:dyDescent="0.3">
      <c r="A35" s="56"/>
      <c r="B35" s="61" t="s">
        <v>44</v>
      </c>
      <c r="C35" s="60">
        <f>SUM(C16:C34)</f>
        <v>349.94526586089995</v>
      </c>
      <c r="D35" s="60">
        <f t="shared" ref="D35:F35" si="3">SUM(D16:D34)</f>
        <v>1065.7632343720468</v>
      </c>
      <c r="E35" s="60">
        <f t="shared" si="3"/>
        <v>307.33568933194846</v>
      </c>
      <c r="F35" s="60">
        <f t="shared" si="3"/>
        <v>1723.0441895648946</v>
      </c>
    </row>
    <row r="36" spans="1:24" ht="15.75" customHeight="1" x14ac:dyDescent="0.3">
      <c r="A36" s="55"/>
      <c r="B36" s="55" t="s">
        <v>45</v>
      </c>
      <c r="C36" s="60">
        <f>C14+C35</f>
        <v>999.72891768589352</v>
      </c>
      <c r="D36" s="60">
        <f t="shared" ref="D36:F36" si="4">D14+D35</f>
        <v>3044.6884948907978</v>
      </c>
      <c r="E36" s="60">
        <f t="shared" si="4"/>
        <v>878.00123629678387</v>
      </c>
      <c r="F36" s="60">
        <f t="shared" si="4"/>
        <v>4922.4186488734749</v>
      </c>
    </row>
    <row r="37" spans="1:24" ht="21" customHeight="1" x14ac:dyDescent="0.3">
      <c r="A37" s="55"/>
      <c r="B37" s="55" t="s">
        <v>46</v>
      </c>
      <c r="C37" s="62">
        <v>443</v>
      </c>
      <c r="D37" s="62">
        <v>641</v>
      </c>
      <c r="E37" s="62">
        <v>422</v>
      </c>
      <c r="F37" s="62" t="s">
        <v>47</v>
      </c>
    </row>
    <row r="38" spans="1:24" ht="42" customHeight="1" x14ac:dyDescent="0.3">
      <c r="A38" s="55"/>
      <c r="B38" s="55" t="s">
        <v>123</v>
      </c>
      <c r="C38" s="60">
        <f>C14/C37</f>
        <v>1.466780252426622</v>
      </c>
      <c r="D38" s="63">
        <f t="shared" ref="D38:E38" si="5">D14/D37</f>
        <v>3.087246896285103</v>
      </c>
      <c r="E38" s="60">
        <f t="shared" si="5"/>
        <v>1.3522880259830223</v>
      </c>
      <c r="F38" s="60">
        <f>SUM(C38:E38)</f>
        <v>5.9063151746947478</v>
      </c>
    </row>
    <row r="39" spans="1:24" ht="33.75" customHeight="1" x14ac:dyDescent="0.3">
      <c r="A39" s="55"/>
      <c r="B39" s="55" t="s">
        <v>125</v>
      </c>
      <c r="C39" s="59">
        <f>C9/C37</f>
        <v>0.48257336343115126</v>
      </c>
      <c r="D39" s="59">
        <f>D9/D37</f>
        <v>1.0157098283931358</v>
      </c>
      <c r="E39" s="59">
        <f>E9/E37</f>
        <v>0.44490521327014215</v>
      </c>
      <c r="F39" s="59">
        <f>SUM(C39:E39)</f>
        <v>1.9431884050944292</v>
      </c>
    </row>
  </sheetData>
  <mergeCells count="3">
    <mergeCell ref="C6:F6"/>
    <mergeCell ref="A6:B6"/>
    <mergeCell ref="A1:F1"/>
  </mergeCell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B2AD-DCDA-4B01-98D3-3C25BF3748BC}">
  <sheetPr>
    <pageSetUpPr fitToPage="1"/>
  </sheetPr>
  <dimension ref="A1:X39"/>
  <sheetViews>
    <sheetView workbookViewId="0">
      <selection activeCell="C1" sqref="C1:J1"/>
    </sheetView>
  </sheetViews>
  <sheetFormatPr defaultColWidth="9.109375" defaultRowHeight="15.6" x14ac:dyDescent="0.3"/>
  <cols>
    <col min="1" max="1" width="10.6640625" style="76" customWidth="1"/>
    <col min="2" max="2" width="43" style="79" customWidth="1"/>
    <col min="3" max="10" width="10.6640625" style="76" customWidth="1"/>
    <col min="11" max="13" width="9.109375" style="73" hidden="1" customWidth="1"/>
    <col min="14" max="14" width="29.6640625" style="73" hidden="1" customWidth="1"/>
    <col min="15" max="24" width="9.109375" style="75"/>
    <col min="25" max="16384" width="9.109375" style="76"/>
  </cols>
  <sheetData>
    <row r="1" spans="1:24" s="70" customFormat="1" ht="79.5" customHeight="1" x14ac:dyDescent="0.3">
      <c r="A1" s="66"/>
      <c r="B1" s="66"/>
      <c r="C1" s="14" t="s">
        <v>143</v>
      </c>
      <c r="D1" s="14"/>
      <c r="E1" s="14"/>
      <c r="F1" s="14"/>
      <c r="G1" s="14"/>
      <c r="H1" s="14"/>
      <c r="I1" s="14"/>
      <c r="J1" s="14"/>
      <c r="K1" s="67"/>
      <c r="L1" s="68"/>
      <c r="M1" s="68"/>
      <c r="N1" s="68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s="70" customFormat="1" x14ac:dyDescent="0.3">
      <c r="A2" s="65"/>
      <c r="B2" s="65"/>
      <c r="C2" s="71"/>
      <c r="D2" s="71"/>
      <c r="E2" s="71"/>
      <c r="F2" s="66"/>
      <c r="G2" s="66"/>
      <c r="H2" s="66"/>
      <c r="I2" s="66"/>
      <c r="J2" s="66"/>
      <c r="K2" s="72"/>
      <c r="L2" s="68"/>
      <c r="M2" s="68"/>
      <c r="N2" s="68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4" s="70" customFormat="1" x14ac:dyDescent="0.3">
      <c r="A3" s="64" t="s">
        <v>14</v>
      </c>
      <c r="B3" s="65"/>
      <c r="C3" s="71"/>
      <c r="D3" s="71"/>
      <c r="E3" s="71"/>
      <c r="F3" s="71"/>
      <c r="G3" s="71"/>
      <c r="H3" s="71"/>
      <c r="I3" s="71"/>
      <c r="J3" s="71"/>
      <c r="K3" s="68"/>
      <c r="L3" s="68"/>
      <c r="M3" s="68"/>
      <c r="N3" s="68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s="70" customFormat="1" x14ac:dyDescent="0.3">
      <c r="A4" s="16" t="s">
        <v>126</v>
      </c>
      <c r="B4" s="66"/>
      <c r="C4" s="65"/>
      <c r="D4" s="71"/>
      <c r="E4" s="71"/>
      <c r="F4" s="71"/>
      <c r="G4" s="71"/>
      <c r="H4" s="71"/>
      <c r="I4" s="71"/>
      <c r="J4" s="71"/>
      <c r="K4" s="68"/>
      <c r="L4" s="68"/>
      <c r="M4" s="68"/>
      <c r="N4" s="68"/>
      <c r="O4" s="69"/>
      <c r="P4" s="69"/>
      <c r="Q4" s="69"/>
      <c r="R4" s="69"/>
      <c r="S4" s="69"/>
      <c r="T4" s="69"/>
      <c r="U4" s="69"/>
      <c r="V4" s="69"/>
      <c r="W4" s="69"/>
      <c r="X4" s="69"/>
    </row>
    <row r="6" spans="1:24" ht="46.8" x14ac:dyDescent="0.3">
      <c r="A6" s="9" t="s">
        <v>67</v>
      </c>
      <c r="B6" s="8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L6" s="74" t="s">
        <v>79</v>
      </c>
      <c r="M6" s="74" t="s">
        <v>80</v>
      </c>
    </row>
    <row r="7" spans="1:24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</row>
    <row r="8" spans="1:24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</row>
    <row r="9" spans="1:24" x14ac:dyDescent="0.3">
      <c r="A9" s="58">
        <v>2363</v>
      </c>
      <c r="B9" s="55" t="s">
        <v>18</v>
      </c>
      <c r="C9" s="59">
        <v>144.02000000000001</v>
      </c>
      <c r="D9" s="59">
        <v>306.51</v>
      </c>
      <c r="E9" s="59">
        <v>145.65</v>
      </c>
      <c r="F9" s="59">
        <f>C9+D9+E9</f>
        <v>596.17999999999995</v>
      </c>
      <c r="G9" s="59">
        <v>611.29</v>
      </c>
      <c r="H9" s="59">
        <v>1469.32</v>
      </c>
      <c r="I9" s="59">
        <v>659.83</v>
      </c>
      <c r="J9" s="59">
        <f>SUM(G9:I9)</f>
        <v>2740.4399999999996</v>
      </c>
      <c r="L9" s="77">
        <v>3617.13</v>
      </c>
      <c r="T9" s="75">
        <v>3617.13</v>
      </c>
    </row>
    <row r="10" spans="1:24" x14ac:dyDescent="0.3">
      <c r="A10" s="58">
        <v>1100</v>
      </c>
      <c r="B10" s="55" t="s">
        <v>19</v>
      </c>
      <c r="C10" s="60">
        <f>M10/L9*C9</f>
        <v>67.631622861218702</v>
      </c>
      <c r="D10" s="60">
        <f>M10/L9*D9</f>
        <v>143.93673603105222</v>
      </c>
      <c r="E10" s="60">
        <f>M10/L9*E9</f>
        <v>68.397068946927533</v>
      </c>
      <c r="F10" s="60">
        <f>SUM(C10:E10)</f>
        <v>279.96542783919847</v>
      </c>
      <c r="G10" s="60">
        <f>M10/L9*G9</f>
        <v>287.06106609383676</v>
      </c>
      <c r="H10" s="60">
        <f>M10/L9*H9</f>
        <v>689.99094641331658</v>
      </c>
      <c r="I10" s="60">
        <f>M10/L9*I9</f>
        <v>309.85539308789009</v>
      </c>
      <c r="J10" s="60">
        <f>SUM(G10:I10)</f>
        <v>1286.9074055950434</v>
      </c>
      <c r="M10" s="77">
        <v>1698.6</v>
      </c>
    </row>
    <row r="11" spans="1:24" ht="46.8" x14ac:dyDescent="0.3">
      <c r="A11" s="58">
        <v>1200</v>
      </c>
      <c r="B11" s="55" t="s">
        <v>20</v>
      </c>
      <c r="C11" s="60">
        <f>M11/L9*C9</f>
        <v>15.954299832961491</v>
      </c>
      <c r="D11" s="60">
        <f>M11/L9*D9</f>
        <v>33.954676029725221</v>
      </c>
      <c r="E11" s="60">
        <f>M11/L9*E9</f>
        <v>16.134868564580206</v>
      </c>
      <c r="F11" s="60">
        <f>SUM(C11:E11)</f>
        <v>66.043844427266919</v>
      </c>
      <c r="G11" s="60">
        <f>M11/L9*G9</f>
        <v>67.717705491536094</v>
      </c>
      <c r="H11" s="60">
        <f>M11/L9*H9</f>
        <v>162.76886425890137</v>
      </c>
      <c r="I11" s="60">
        <f>M11/L9*I9</f>
        <v>73.094887229433269</v>
      </c>
      <c r="J11" s="60">
        <f>SUM(G11:I11)</f>
        <v>303.58145697987072</v>
      </c>
      <c r="M11" s="77">
        <f>M10*0.2359</f>
        <v>400.69973999999996</v>
      </c>
    </row>
    <row r="12" spans="1:24" x14ac:dyDescent="0.3">
      <c r="A12" s="58">
        <v>2222</v>
      </c>
      <c r="B12" s="55" t="s">
        <v>21</v>
      </c>
      <c r="C12" s="60">
        <f>M12/L9*C9</f>
        <v>23.504636714743462</v>
      </c>
      <c r="D12" s="60">
        <f>M12/L9*D9</f>
        <v>50.023650877905965</v>
      </c>
      <c r="E12" s="60">
        <f>M12/L9*E9</f>
        <v>23.770659196655917</v>
      </c>
      <c r="F12" s="60">
        <f t="shared" ref="F12:F13" si="0">SUM(C12:E12)</f>
        <v>97.298946789305347</v>
      </c>
      <c r="G12" s="60">
        <f>M12/L9*G9</f>
        <v>99.764958876236136</v>
      </c>
      <c r="H12" s="60">
        <f>M12/L9*H9</f>
        <v>239.79886694699942</v>
      </c>
      <c r="I12" s="60">
        <f>M12/L9*I9</f>
        <v>107.68687990202179</v>
      </c>
      <c r="J12" s="60">
        <f t="shared" ref="J12:J13" si="1">SUM(G12:I12)</f>
        <v>447.25070572525738</v>
      </c>
      <c r="M12" s="73">
        <f>4541*0.13</f>
        <v>590.33000000000004</v>
      </c>
      <c r="N12" s="68"/>
    </row>
    <row r="13" spans="1:24" x14ac:dyDescent="0.3">
      <c r="A13" s="58">
        <v>2223</v>
      </c>
      <c r="B13" s="55" t="s">
        <v>22</v>
      </c>
      <c r="C13" s="60">
        <f>M13/L9*C9</f>
        <v>52.99801262326762</v>
      </c>
      <c r="D13" s="60">
        <f>M13/L9*D9</f>
        <v>112.79281245075515</v>
      </c>
      <c r="E13" s="60">
        <f>M13/L9*E9</f>
        <v>53.597837373829528</v>
      </c>
      <c r="F13" s="60">
        <f t="shared" si="0"/>
        <v>219.38866244785228</v>
      </c>
      <c r="G13" s="60">
        <f>M13/L9*G9</f>
        <v>224.94900108649674</v>
      </c>
      <c r="H13" s="60">
        <f>M13/L9*H9</f>
        <v>540.69601380099687</v>
      </c>
      <c r="I13" s="60">
        <f>M13/L9*I9</f>
        <v>242.81126697132811</v>
      </c>
      <c r="J13" s="60">
        <f t="shared" si="1"/>
        <v>1008.4562818588217</v>
      </c>
      <c r="M13" s="73">
        <f>10239*0.13</f>
        <v>1331.07</v>
      </c>
      <c r="N13" s="68"/>
    </row>
    <row r="14" spans="1:24" x14ac:dyDescent="0.3">
      <c r="A14" s="56"/>
      <c r="B14" s="61" t="s">
        <v>23</v>
      </c>
      <c r="C14" s="60">
        <f>SUM(C9:C13)</f>
        <v>304.10857203219126</v>
      </c>
      <c r="D14" s="60">
        <f t="shared" ref="D14:J14" si="2">SUM(D9:D13)</f>
        <v>647.21787538943852</v>
      </c>
      <c r="E14" s="60">
        <f t="shared" si="2"/>
        <v>307.55043408199322</v>
      </c>
      <c r="F14" s="60">
        <f t="shared" si="2"/>
        <v>1258.8768815036231</v>
      </c>
      <c r="G14" s="60">
        <f t="shared" si="2"/>
        <v>1290.7827315481056</v>
      </c>
      <c r="H14" s="60">
        <f t="shared" si="2"/>
        <v>3102.5746914202145</v>
      </c>
      <c r="I14" s="60">
        <f t="shared" si="2"/>
        <v>1393.278427190673</v>
      </c>
      <c r="J14" s="60">
        <f t="shared" si="2"/>
        <v>5786.635850158993</v>
      </c>
      <c r="M14" s="77">
        <f>SUM(M10:M13)</f>
        <v>4020.69974</v>
      </c>
    </row>
    <row r="15" spans="1:24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</row>
    <row r="16" spans="1:24" x14ac:dyDescent="0.3">
      <c r="A16" s="58">
        <v>1100</v>
      </c>
      <c r="B16" s="55" t="s">
        <v>25</v>
      </c>
      <c r="C16" s="60">
        <f t="shared" ref="C16:J25" si="3">$U16/$T$9*C$9</f>
        <v>50.604268854036214</v>
      </c>
      <c r="D16" s="60">
        <f t="shared" si="3"/>
        <v>107.69833666470379</v>
      </c>
      <c r="E16" s="60">
        <f t="shared" si="3"/>
        <v>51.17700151777791</v>
      </c>
      <c r="F16" s="60">
        <f t="shared" si="3"/>
        <v>209.4796070365179</v>
      </c>
      <c r="G16" s="60">
        <f t="shared" si="3"/>
        <v>214.78880369243018</v>
      </c>
      <c r="H16" s="60">
        <f t="shared" si="3"/>
        <v>516.27457514659409</v>
      </c>
      <c r="I16" s="60">
        <f t="shared" si="3"/>
        <v>231.84429050103262</v>
      </c>
      <c r="J16" s="60">
        <f t="shared" si="3"/>
        <v>962.90766934005683</v>
      </c>
      <c r="U16" s="69">
        <v>1270.95</v>
      </c>
      <c r="V16" s="78">
        <v>1100</v>
      </c>
      <c r="W16" s="69"/>
    </row>
    <row r="17" spans="1:23" ht="46.8" x14ac:dyDescent="0.3">
      <c r="A17" s="58">
        <v>1200</v>
      </c>
      <c r="B17" s="55" t="s">
        <v>26</v>
      </c>
      <c r="C17" s="60">
        <f t="shared" si="3"/>
        <v>11.937547022667145</v>
      </c>
      <c r="D17" s="60">
        <f t="shared" si="3"/>
        <v>25.406037619203627</v>
      </c>
      <c r="E17" s="60">
        <f t="shared" si="3"/>
        <v>12.07265465804381</v>
      </c>
      <c r="F17" s="60">
        <f t="shared" si="3"/>
        <v>49.416239299914572</v>
      </c>
      <c r="G17" s="60">
        <f t="shared" si="3"/>
        <v>50.668678791044286</v>
      </c>
      <c r="H17" s="60">
        <f t="shared" si="3"/>
        <v>121.78917227708156</v>
      </c>
      <c r="I17" s="60">
        <f t="shared" si="3"/>
        <v>54.692068129193594</v>
      </c>
      <c r="J17" s="60">
        <f t="shared" si="3"/>
        <v>227.14991919731941</v>
      </c>
      <c r="U17" s="69">
        <f>U16*0.2359</f>
        <v>299.81710500000003</v>
      </c>
      <c r="V17" s="78">
        <v>1200</v>
      </c>
      <c r="W17" s="69"/>
    </row>
    <row r="18" spans="1:23" x14ac:dyDescent="0.3">
      <c r="A18" s="58">
        <v>2210</v>
      </c>
      <c r="B18" s="55" t="s">
        <v>27</v>
      </c>
      <c r="C18" s="60">
        <f t="shared" si="3"/>
        <v>0.16045887208919779</v>
      </c>
      <c r="D18" s="60">
        <f t="shared" si="3"/>
        <v>0.34149596503305107</v>
      </c>
      <c r="E18" s="60">
        <f t="shared" si="3"/>
        <v>0.1622749251478382</v>
      </c>
      <c r="F18" s="60">
        <f t="shared" si="3"/>
        <v>0.66422976227008701</v>
      </c>
      <c r="G18" s="60">
        <f t="shared" si="3"/>
        <v>0.68106446270938559</v>
      </c>
      <c r="H18" s="60">
        <f t="shared" si="3"/>
        <v>1.6370325644917378</v>
      </c>
      <c r="I18" s="60">
        <f t="shared" si="3"/>
        <v>0.73514496299552412</v>
      </c>
      <c r="J18" s="60">
        <f t="shared" si="3"/>
        <v>3.0532419901966472</v>
      </c>
      <c r="U18" s="31">
        <v>4.03</v>
      </c>
      <c r="V18" s="78">
        <v>2210</v>
      </c>
      <c r="W18" s="31" t="s">
        <v>108</v>
      </c>
    </row>
    <row r="19" spans="1:23" x14ac:dyDescent="0.3">
      <c r="A19" s="58">
        <v>2221</v>
      </c>
      <c r="B19" s="55" t="s">
        <v>28</v>
      </c>
      <c r="C19" s="60">
        <f t="shared" si="3"/>
        <v>0</v>
      </c>
      <c r="D19" s="60">
        <f t="shared" si="3"/>
        <v>0</v>
      </c>
      <c r="E19" s="60">
        <f t="shared" si="3"/>
        <v>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60">
        <f t="shared" si="3"/>
        <v>0</v>
      </c>
      <c r="J19" s="60">
        <f t="shared" si="3"/>
        <v>0</v>
      </c>
      <c r="U19" s="31">
        <v>0</v>
      </c>
      <c r="V19" s="78">
        <v>2221</v>
      </c>
      <c r="W19" s="31" t="s">
        <v>89</v>
      </c>
    </row>
    <row r="20" spans="1:23" x14ac:dyDescent="0.3">
      <c r="A20" s="58">
        <v>2224</v>
      </c>
      <c r="B20" s="55" t="s">
        <v>29</v>
      </c>
      <c r="C20" s="60">
        <f t="shared" si="3"/>
        <v>0.7405794096424515</v>
      </c>
      <c r="D20" s="60">
        <f t="shared" si="3"/>
        <v>1.5761352232294665</v>
      </c>
      <c r="E20" s="60">
        <f t="shared" si="3"/>
        <v>0.74896119299002262</v>
      </c>
      <c r="F20" s="60">
        <f t="shared" si="3"/>
        <v>3.0656758258619403</v>
      </c>
      <c r="G20" s="60">
        <f t="shared" si="3"/>
        <v>3.1433744432740873</v>
      </c>
      <c r="H20" s="60">
        <f t="shared" si="3"/>
        <v>7.555534913038791</v>
      </c>
      <c r="I20" s="60">
        <f t="shared" si="3"/>
        <v>3.3929767522870349</v>
      </c>
      <c r="J20" s="60">
        <f t="shared" si="3"/>
        <v>14.091886108599912</v>
      </c>
      <c r="U20" s="31">
        <v>18.600000000000001</v>
      </c>
      <c r="V20" s="78">
        <v>2224</v>
      </c>
      <c r="W20" s="31" t="s">
        <v>90</v>
      </c>
    </row>
    <row r="21" spans="1:23" x14ac:dyDescent="0.3">
      <c r="A21" s="58">
        <v>2234</v>
      </c>
      <c r="B21" s="55" t="s">
        <v>30</v>
      </c>
      <c r="C21" s="60">
        <f t="shared" si="3"/>
        <v>2.3889658375562948</v>
      </c>
      <c r="D21" s="60">
        <f t="shared" si="3"/>
        <v>5.0843071717079562</v>
      </c>
      <c r="E21" s="60">
        <f t="shared" si="3"/>
        <v>2.4160038483549116</v>
      </c>
      <c r="F21" s="60">
        <f t="shared" si="3"/>
        <v>9.8892768576191621</v>
      </c>
      <c r="G21" s="60">
        <f t="shared" si="3"/>
        <v>10.139917558948669</v>
      </c>
      <c r="H21" s="60">
        <f t="shared" si="3"/>
        <v>24.372693267867067</v>
      </c>
      <c r="I21" s="60">
        <f t="shared" si="3"/>
        <v>10.945086297700112</v>
      </c>
      <c r="J21" s="60">
        <f t="shared" si="3"/>
        <v>45.457697124515839</v>
      </c>
      <c r="U21" s="31">
        <f>2*30</f>
        <v>60</v>
      </c>
      <c r="V21" s="78">
        <v>2234</v>
      </c>
      <c r="W21" s="31" t="s">
        <v>91</v>
      </c>
    </row>
    <row r="22" spans="1:23" x14ac:dyDescent="0.3">
      <c r="A22" s="58">
        <v>2235</v>
      </c>
      <c r="B22" s="55" t="s">
        <v>31</v>
      </c>
      <c r="C22" s="60">
        <f t="shared" si="3"/>
        <v>1.5926438917041965</v>
      </c>
      <c r="D22" s="60">
        <f t="shared" si="3"/>
        <v>3.389538114471971</v>
      </c>
      <c r="E22" s="60">
        <f t="shared" si="3"/>
        <v>1.6106692322366076</v>
      </c>
      <c r="F22" s="60">
        <f t="shared" si="3"/>
        <v>6.5928512384127744</v>
      </c>
      <c r="G22" s="60">
        <f t="shared" si="3"/>
        <v>6.7599450392991125</v>
      </c>
      <c r="H22" s="60">
        <f t="shared" si="3"/>
        <v>16.248462178578045</v>
      </c>
      <c r="I22" s="60">
        <f t="shared" si="3"/>
        <v>7.296724198466741</v>
      </c>
      <c r="J22" s="60">
        <f t="shared" si="3"/>
        <v>30.305131416343894</v>
      </c>
      <c r="U22" s="31">
        <f>2*20</f>
        <v>40</v>
      </c>
      <c r="V22" s="78">
        <v>2235</v>
      </c>
      <c r="W22" s="31" t="s">
        <v>92</v>
      </c>
    </row>
    <row r="23" spans="1:23" x14ac:dyDescent="0.3">
      <c r="A23" s="58">
        <v>2243</v>
      </c>
      <c r="B23" s="55" t="s">
        <v>32</v>
      </c>
      <c r="C23" s="60">
        <f t="shared" si="3"/>
        <v>1.0618953147937731</v>
      </c>
      <c r="D23" s="60">
        <f t="shared" si="3"/>
        <v>2.2599745378241867</v>
      </c>
      <c r="E23" s="60">
        <f t="shared" si="3"/>
        <v>1.0739137105937582</v>
      </c>
      <c r="F23" s="60">
        <f t="shared" si="3"/>
        <v>4.395783563211717</v>
      </c>
      <c r="G23" s="60">
        <f t="shared" si="3"/>
        <v>4.5071933549526833</v>
      </c>
      <c r="H23" s="60">
        <f t="shared" si="3"/>
        <v>10.833662157566911</v>
      </c>
      <c r="I23" s="60">
        <f t="shared" si="3"/>
        <v>4.8650908593276991</v>
      </c>
      <c r="J23" s="60">
        <f t="shared" si="3"/>
        <v>20.20594637184729</v>
      </c>
      <c r="U23" s="31">
        <v>26.67</v>
      </c>
      <c r="V23" s="78">
        <v>2243</v>
      </c>
      <c r="W23" s="31" t="s">
        <v>93</v>
      </c>
    </row>
    <row r="24" spans="1:23" x14ac:dyDescent="0.3">
      <c r="A24" s="58">
        <v>2244</v>
      </c>
      <c r="B24" s="55" t="s">
        <v>33</v>
      </c>
      <c r="C24" s="60">
        <f t="shared" si="3"/>
        <v>7.206713609961489E-2</v>
      </c>
      <c r="D24" s="60">
        <f t="shared" si="3"/>
        <v>0.15337659967985667</v>
      </c>
      <c r="E24" s="60">
        <f t="shared" si="3"/>
        <v>7.288278275870648E-2</v>
      </c>
      <c r="F24" s="60">
        <f t="shared" si="3"/>
        <v>0.29832651853817799</v>
      </c>
      <c r="G24" s="60">
        <f t="shared" si="3"/>
        <v>0.30588751302828482</v>
      </c>
      <c r="H24" s="60">
        <f t="shared" si="3"/>
        <v>0.73524291358065641</v>
      </c>
      <c r="I24" s="60">
        <f t="shared" si="3"/>
        <v>0.33017676998062001</v>
      </c>
      <c r="J24" s="60">
        <f t="shared" si="3"/>
        <v>1.3713071965895611</v>
      </c>
      <c r="U24" s="31">
        <v>1.81</v>
      </c>
      <c r="V24" s="78">
        <v>2244</v>
      </c>
      <c r="W24" s="31" t="s">
        <v>94</v>
      </c>
    </row>
    <row r="25" spans="1:23" x14ac:dyDescent="0.3">
      <c r="A25" s="58">
        <v>2247</v>
      </c>
      <c r="B25" s="55" t="s">
        <v>34</v>
      </c>
      <c r="C25" s="60">
        <f t="shared" si="3"/>
        <v>1.1148507241929376E-2</v>
      </c>
      <c r="D25" s="60">
        <f t="shared" si="3"/>
        <v>2.3726766801303797E-2</v>
      </c>
      <c r="E25" s="60">
        <f t="shared" si="3"/>
        <v>1.1274684625656254E-2</v>
      </c>
      <c r="F25" s="60">
        <f t="shared" si="3"/>
        <v>4.6149958668889421E-2</v>
      </c>
      <c r="G25" s="60">
        <f t="shared" si="3"/>
        <v>4.731961527509379E-2</v>
      </c>
      <c r="H25" s="60">
        <f t="shared" si="3"/>
        <v>0.11373923525004631</v>
      </c>
      <c r="I25" s="60">
        <f t="shared" si="3"/>
        <v>5.1077069389267191E-2</v>
      </c>
      <c r="J25" s="60">
        <f t="shared" si="3"/>
        <v>0.21213591991440725</v>
      </c>
      <c r="U25" s="31">
        <v>0.28000000000000003</v>
      </c>
      <c r="V25" s="78">
        <v>2247</v>
      </c>
      <c r="W25" s="31" t="s">
        <v>95</v>
      </c>
    </row>
    <row r="26" spans="1:23" x14ac:dyDescent="0.3">
      <c r="A26" s="58">
        <v>2251</v>
      </c>
      <c r="B26" s="55" t="s">
        <v>35</v>
      </c>
      <c r="C26" s="60">
        <f t="shared" ref="C26:J34" si="4">$U26/$T$9*C$9</f>
        <v>0</v>
      </c>
      <c r="D26" s="60">
        <f t="shared" si="4"/>
        <v>0</v>
      </c>
      <c r="E26" s="60">
        <f t="shared" si="4"/>
        <v>0</v>
      </c>
      <c r="F26" s="60">
        <f t="shared" si="4"/>
        <v>0</v>
      </c>
      <c r="G26" s="60">
        <f t="shared" si="4"/>
        <v>0</v>
      </c>
      <c r="H26" s="60">
        <f t="shared" si="4"/>
        <v>0</v>
      </c>
      <c r="I26" s="60">
        <f t="shared" si="4"/>
        <v>0</v>
      </c>
      <c r="J26" s="60">
        <f t="shared" si="4"/>
        <v>0</v>
      </c>
      <c r="U26" s="31">
        <v>0</v>
      </c>
      <c r="V26" s="78">
        <v>2251</v>
      </c>
      <c r="W26" s="31" t="s">
        <v>96</v>
      </c>
    </row>
    <row r="27" spans="1:23" x14ac:dyDescent="0.3">
      <c r="A27" s="58">
        <v>2311</v>
      </c>
      <c r="B27" s="55" t="s">
        <v>36</v>
      </c>
      <c r="C27" s="60">
        <f t="shared" si="4"/>
        <v>0.20425657911106321</v>
      </c>
      <c r="D27" s="60">
        <f t="shared" si="4"/>
        <v>0.43470826318103023</v>
      </c>
      <c r="E27" s="60">
        <f t="shared" si="4"/>
        <v>0.20656832903434491</v>
      </c>
      <c r="F27" s="60">
        <f t="shared" si="4"/>
        <v>0.84553317132643824</v>
      </c>
      <c r="G27" s="60">
        <f t="shared" si="4"/>
        <v>0.86696295129011114</v>
      </c>
      <c r="H27" s="60">
        <f t="shared" si="4"/>
        <v>2.0838652744026338</v>
      </c>
      <c r="I27" s="60">
        <f t="shared" si="4"/>
        <v>0.93580487845335947</v>
      </c>
      <c r="J27" s="60">
        <f t="shared" si="4"/>
        <v>3.886633104146104</v>
      </c>
      <c r="U27" s="31">
        <v>5.13</v>
      </c>
      <c r="V27" s="78">
        <v>2311</v>
      </c>
      <c r="W27" s="31" t="s">
        <v>97</v>
      </c>
    </row>
    <row r="28" spans="1:23" x14ac:dyDescent="0.3">
      <c r="A28" s="58">
        <v>2312</v>
      </c>
      <c r="B28" s="55" t="s">
        <v>37</v>
      </c>
      <c r="C28" s="60">
        <f t="shared" si="4"/>
        <v>0.19111726700450357</v>
      </c>
      <c r="D28" s="60">
        <f t="shared" si="4"/>
        <v>0.40674457373663647</v>
      </c>
      <c r="E28" s="60">
        <f t="shared" si="4"/>
        <v>0.19328030786839287</v>
      </c>
      <c r="F28" s="60">
        <f t="shared" si="4"/>
        <v>0.7911421486095328</v>
      </c>
      <c r="G28" s="60">
        <f t="shared" si="4"/>
        <v>0.81119340471589341</v>
      </c>
      <c r="H28" s="60">
        <f t="shared" si="4"/>
        <v>1.949815461429365</v>
      </c>
      <c r="I28" s="60">
        <f t="shared" si="4"/>
        <v>0.87560690381600881</v>
      </c>
      <c r="J28" s="60">
        <f t="shared" si="4"/>
        <v>3.6366157699612667</v>
      </c>
      <c r="U28" s="31">
        <v>4.8</v>
      </c>
      <c r="V28" s="78">
        <v>2312</v>
      </c>
      <c r="W28" s="31" t="s">
        <v>98</v>
      </c>
    </row>
    <row r="29" spans="1:23" x14ac:dyDescent="0.3">
      <c r="A29" s="58">
        <v>2321</v>
      </c>
      <c r="B29" s="55" t="s">
        <v>38</v>
      </c>
      <c r="C29" s="60">
        <f t="shared" si="4"/>
        <v>2.3272508867527573</v>
      </c>
      <c r="D29" s="60">
        <f t="shared" si="4"/>
        <v>4.9529625697721675</v>
      </c>
      <c r="E29" s="60">
        <f t="shared" si="4"/>
        <v>2.3535904156057428</v>
      </c>
      <c r="F29" s="60">
        <f t="shared" si="4"/>
        <v>9.6338038721306667</v>
      </c>
      <c r="G29" s="60">
        <f t="shared" si="4"/>
        <v>9.8779696886758277</v>
      </c>
      <c r="H29" s="60">
        <f t="shared" si="4"/>
        <v>23.743065358447165</v>
      </c>
      <c r="I29" s="60">
        <f t="shared" si="4"/>
        <v>10.662338235009525</v>
      </c>
      <c r="J29" s="60">
        <f t="shared" si="4"/>
        <v>44.283373282132516</v>
      </c>
      <c r="U29" s="31">
        <v>58.45</v>
      </c>
      <c r="V29" s="78">
        <v>2321</v>
      </c>
      <c r="W29" s="31" t="s">
        <v>99</v>
      </c>
    </row>
    <row r="30" spans="1:23" x14ac:dyDescent="0.3">
      <c r="A30" s="58">
        <v>2341</v>
      </c>
      <c r="B30" s="55" t="s">
        <v>39</v>
      </c>
      <c r="C30" s="60">
        <f t="shared" si="4"/>
        <v>4.7779316751125891E-3</v>
      </c>
      <c r="D30" s="60">
        <f t="shared" si="4"/>
        <v>1.0168614343415911E-2</v>
      </c>
      <c r="E30" s="60">
        <f t="shared" si="4"/>
        <v>4.8320076967098219E-3</v>
      </c>
      <c r="F30" s="60">
        <f t="shared" si="4"/>
        <v>1.9778553715238321E-2</v>
      </c>
      <c r="G30" s="60">
        <f t="shared" si="4"/>
        <v>2.0279835117897337E-2</v>
      </c>
      <c r="H30" s="60">
        <f t="shared" si="4"/>
        <v>4.8745386535734125E-2</v>
      </c>
      <c r="I30" s="60">
        <f t="shared" si="4"/>
        <v>2.1890172595400222E-2</v>
      </c>
      <c r="J30" s="60">
        <f t="shared" si="4"/>
        <v>9.0915394249031667E-2</v>
      </c>
      <c r="U30" s="31">
        <v>0.12</v>
      </c>
      <c r="V30" s="78" t="s">
        <v>104</v>
      </c>
      <c r="W30" s="31" t="s">
        <v>100</v>
      </c>
    </row>
    <row r="31" spans="1:23" x14ac:dyDescent="0.3">
      <c r="A31" s="58">
        <v>2351</v>
      </c>
      <c r="B31" s="55" t="s">
        <v>40</v>
      </c>
      <c r="C31" s="60">
        <f t="shared" si="4"/>
        <v>0.88152839405827277</v>
      </c>
      <c r="D31" s="60">
        <f t="shared" si="4"/>
        <v>1.8761093463602359</v>
      </c>
      <c r="E31" s="60">
        <f t="shared" si="4"/>
        <v>0.89150542004296218</v>
      </c>
      <c r="F31" s="60">
        <f t="shared" si="4"/>
        <v>3.6491431604614704</v>
      </c>
      <c r="G31" s="60">
        <f t="shared" si="4"/>
        <v>3.7416295792520584</v>
      </c>
      <c r="H31" s="60">
        <f t="shared" si="4"/>
        <v>8.9935238158429467</v>
      </c>
      <c r="I31" s="60">
        <f t="shared" si="4"/>
        <v>4.0387368438513409</v>
      </c>
      <c r="J31" s="60">
        <f t="shared" si="4"/>
        <v>16.773890238946343</v>
      </c>
      <c r="U31" s="31">
        <v>22.14</v>
      </c>
      <c r="V31" s="78" t="s">
        <v>102</v>
      </c>
      <c r="W31" s="31" t="s">
        <v>97</v>
      </c>
    </row>
    <row r="32" spans="1:23" x14ac:dyDescent="0.3">
      <c r="A32" s="58">
        <v>2352</v>
      </c>
      <c r="B32" s="55" t="s">
        <v>41</v>
      </c>
      <c r="C32" s="60">
        <f t="shared" si="4"/>
        <v>0.36909522190244753</v>
      </c>
      <c r="D32" s="60">
        <f t="shared" si="4"/>
        <v>0.78552545802887919</v>
      </c>
      <c r="E32" s="60">
        <f t="shared" si="4"/>
        <v>0.37327259457083378</v>
      </c>
      <c r="F32" s="60">
        <f t="shared" si="4"/>
        <v>1.5278932745021603</v>
      </c>
      <c r="G32" s="60">
        <f t="shared" si="4"/>
        <v>1.5666172628575692</v>
      </c>
      <c r="H32" s="60">
        <f t="shared" si="4"/>
        <v>3.7655811098854612</v>
      </c>
      <c r="I32" s="60">
        <f t="shared" si="4"/>
        <v>1.691015832994667</v>
      </c>
      <c r="J32" s="60">
        <f t="shared" si="4"/>
        <v>7.0232142057376965</v>
      </c>
      <c r="U32" s="31">
        <v>9.27</v>
      </c>
      <c r="V32" s="78" t="s">
        <v>103</v>
      </c>
      <c r="W32" s="31" t="s">
        <v>98</v>
      </c>
    </row>
    <row r="33" spans="1:23" x14ac:dyDescent="0.3">
      <c r="A33" s="58">
        <v>2362</v>
      </c>
      <c r="B33" s="55" t="s">
        <v>42</v>
      </c>
      <c r="C33" s="60">
        <f t="shared" si="4"/>
        <v>0.92253897426965592</v>
      </c>
      <c r="D33" s="60">
        <f t="shared" si="4"/>
        <v>1.9633899528078891</v>
      </c>
      <c r="E33" s="60">
        <f t="shared" si="4"/>
        <v>0.93298015277305502</v>
      </c>
      <c r="F33" s="60">
        <f t="shared" si="4"/>
        <v>3.8189090798505996</v>
      </c>
      <c r="G33" s="60">
        <f t="shared" si="4"/>
        <v>3.9156981640140112</v>
      </c>
      <c r="H33" s="60">
        <f t="shared" si="4"/>
        <v>9.4119217169413325</v>
      </c>
      <c r="I33" s="60">
        <f t="shared" si="4"/>
        <v>4.2266274919618594</v>
      </c>
      <c r="J33" s="60">
        <f t="shared" si="4"/>
        <v>17.554247372917199</v>
      </c>
      <c r="U33" s="31">
        <v>23.17</v>
      </c>
      <c r="V33" s="78">
        <v>2362</v>
      </c>
      <c r="W33" s="31" t="s">
        <v>101</v>
      </c>
    </row>
    <row r="34" spans="1:23" x14ac:dyDescent="0.3">
      <c r="A34" s="58" t="s">
        <v>13</v>
      </c>
      <c r="B34" s="55" t="s">
        <v>43</v>
      </c>
      <c r="C34" s="60">
        <f t="shared" si="4"/>
        <v>0</v>
      </c>
      <c r="D34" s="60">
        <f t="shared" si="4"/>
        <v>0</v>
      </c>
      <c r="E34" s="60">
        <f t="shared" si="4"/>
        <v>0</v>
      </c>
      <c r="F34" s="60">
        <f t="shared" si="4"/>
        <v>0</v>
      </c>
      <c r="G34" s="60">
        <f t="shared" si="4"/>
        <v>0</v>
      </c>
      <c r="H34" s="60">
        <f t="shared" si="4"/>
        <v>0</v>
      </c>
      <c r="I34" s="60">
        <f t="shared" si="4"/>
        <v>0</v>
      </c>
      <c r="J34" s="60">
        <f t="shared" si="4"/>
        <v>0</v>
      </c>
      <c r="U34" s="31">
        <v>0</v>
      </c>
      <c r="V34" s="31">
        <v>5239</v>
      </c>
      <c r="W34" s="31" t="s">
        <v>43</v>
      </c>
    </row>
    <row r="35" spans="1:23" x14ac:dyDescent="0.3">
      <c r="A35" s="56"/>
      <c r="B35" s="61" t="s">
        <v>44</v>
      </c>
      <c r="C35" s="60">
        <f>SUM(C16:C34)</f>
        <v>73.470140100604624</v>
      </c>
      <c r="D35" s="60">
        <f t="shared" ref="D35:J35" si="5">SUM(D16:D34)</f>
        <v>156.36253744088546</v>
      </c>
      <c r="E35" s="60">
        <f t="shared" si="5"/>
        <v>74.301665780121255</v>
      </c>
      <c r="F35" s="60">
        <f t="shared" si="5"/>
        <v>304.13434332161137</v>
      </c>
      <c r="G35" s="60">
        <f t="shared" si="5"/>
        <v>311.84253535688515</v>
      </c>
      <c r="H35" s="60">
        <f t="shared" si="5"/>
        <v>749.55663277753365</v>
      </c>
      <c r="I35" s="60">
        <f t="shared" si="5"/>
        <v>336.60465589905544</v>
      </c>
      <c r="J35" s="60">
        <f t="shared" si="5"/>
        <v>1398.0038240334738</v>
      </c>
    </row>
    <row r="36" spans="1:23" ht="15.75" customHeight="1" x14ac:dyDescent="0.3">
      <c r="A36" s="55"/>
      <c r="B36" s="55" t="s">
        <v>45</v>
      </c>
      <c r="C36" s="60">
        <f>C14+C35</f>
        <v>377.57871213279589</v>
      </c>
      <c r="D36" s="60">
        <f t="shared" ref="D36:J36" si="6">D14+D35</f>
        <v>803.58041283032401</v>
      </c>
      <c r="E36" s="60">
        <f t="shared" si="6"/>
        <v>381.85209986211447</v>
      </c>
      <c r="F36" s="60">
        <f t="shared" si="6"/>
        <v>1563.0112248252344</v>
      </c>
      <c r="G36" s="60">
        <f t="shared" si="6"/>
        <v>1602.6252669049909</v>
      </c>
      <c r="H36" s="60">
        <f t="shared" si="6"/>
        <v>3852.1313241977482</v>
      </c>
      <c r="I36" s="60">
        <f t="shared" si="6"/>
        <v>1729.8830830897284</v>
      </c>
      <c r="J36" s="60">
        <f t="shared" si="6"/>
        <v>7184.6396741924673</v>
      </c>
    </row>
    <row r="37" spans="1:23" ht="33" customHeight="1" x14ac:dyDescent="0.3">
      <c r="A37" s="55"/>
      <c r="B37" s="55" t="s">
        <v>46</v>
      </c>
      <c r="C37" s="62">
        <v>386</v>
      </c>
      <c r="D37" s="62">
        <v>372</v>
      </c>
      <c r="E37" s="62">
        <v>368</v>
      </c>
      <c r="F37" s="62" t="s">
        <v>47</v>
      </c>
      <c r="G37" s="62">
        <v>1546</v>
      </c>
      <c r="H37" s="62">
        <v>1546</v>
      </c>
      <c r="I37" s="62">
        <v>1546</v>
      </c>
      <c r="J37" s="62" t="s">
        <v>47</v>
      </c>
    </row>
    <row r="38" spans="1:23" ht="63" customHeight="1" x14ac:dyDescent="0.3">
      <c r="A38" s="55"/>
      <c r="B38" s="55" t="s">
        <v>123</v>
      </c>
      <c r="C38" s="60">
        <f>C14/C37</f>
        <v>0.78784604153417426</v>
      </c>
      <c r="D38" s="60">
        <f t="shared" ref="D38:E38" si="7">D14/D37</f>
        <v>1.7398329983587058</v>
      </c>
      <c r="E38" s="60">
        <f t="shared" si="7"/>
        <v>0.83573487522280765</v>
      </c>
      <c r="F38" s="60">
        <f>SUM(C38:E38)</f>
        <v>3.3634139151156877</v>
      </c>
      <c r="G38" s="60">
        <f>G14/G37</f>
        <v>0.83491767887975787</v>
      </c>
      <c r="H38" s="63">
        <f t="shared" ref="H38:I38" si="8">H14/H37</f>
        <v>2.0068400332601648</v>
      </c>
      <c r="I38" s="60">
        <f t="shared" si="8"/>
        <v>0.9012150240560628</v>
      </c>
      <c r="J38" s="60">
        <f>SUM(G38:I38)</f>
        <v>3.742972736195985</v>
      </c>
    </row>
    <row r="39" spans="1:23" ht="51.75" customHeight="1" x14ac:dyDescent="0.3">
      <c r="A39" s="55"/>
      <c r="B39" s="55" t="s">
        <v>125</v>
      </c>
      <c r="C39" s="59">
        <f>C9/C37</f>
        <v>0.37310880829015547</v>
      </c>
      <c r="D39" s="59">
        <f>D9/D37</f>
        <v>0.82395161290322583</v>
      </c>
      <c r="E39" s="59">
        <f>E9/E37</f>
        <v>0.39578804347826091</v>
      </c>
      <c r="F39" s="59">
        <f>SUM(C39:E39)</f>
        <v>1.5928484646716421</v>
      </c>
      <c r="G39" s="59">
        <f>G9/G37</f>
        <v>0.39540103492884859</v>
      </c>
      <c r="H39" s="59">
        <f>H9/H37</f>
        <v>0.95040103492884864</v>
      </c>
      <c r="I39" s="59">
        <f>I9/I37</f>
        <v>0.42679818887451493</v>
      </c>
      <c r="J39" s="59">
        <f>G39+H39+I39</f>
        <v>1.7726002587322123</v>
      </c>
    </row>
  </sheetData>
  <mergeCells count="4">
    <mergeCell ref="C6:F6"/>
    <mergeCell ref="G6:J6"/>
    <mergeCell ref="A6:B6"/>
    <mergeCell ref="C1:J1"/>
  </mergeCells>
  <pageMargins left="0.7" right="0.7" top="0.75" bottom="0.75" header="0.3" footer="0.3"/>
  <pageSetup paperSize="9"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B1E3-F669-4CA5-A54A-5961EE61DA7B}">
  <sheetPr>
    <pageSetUpPr fitToPage="1"/>
  </sheetPr>
  <dimension ref="A1:Z39"/>
  <sheetViews>
    <sheetView zoomScale="106" zoomScaleNormal="106" workbookViewId="0">
      <selection activeCell="S13" sqref="S13"/>
    </sheetView>
  </sheetViews>
  <sheetFormatPr defaultRowHeight="14.4" x14ac:dyDescent="0.3"/>
  <cols>
    <col min="1" max="1" width="10.6640625" customWidth="1"/>
    <col min="2" max="2" width="43" style="28" customWidth="1"/>
    <col min="4" max="4" width="10.109375" bestFit="1" customWidth="1"/>
    <col min="7" max="7" width="10.109375" bestFit="1" customWidth="1"/>
    <col min="9" max="9" width="10.5546875" customWidth="1"/>
    <col min="10" max="10" width="12" customWidth="1"/>
    <col min="11" max="13" width="9.109375" style="48" hidden="1" customWidth="1"/>
    <col min="14" max="14" width="31" style="48" hidden="1" customWidth="1"/>
    <col min="15" max="26" width="9.109375" style="32"/>
  </cols>
  <sheetData>
    <row r="1" spans="1:26" s="15" customFormat="1" ht="58.5" customHeight="1" x14ac:dyDescent="0.25">
      <c r="A1" s="34"/>
      <c r="B1" s="34"/>
      <c r="C1" s="34"/>
      <c r="D1" s="14" t="s">
        <v>144</v>
      </c>
      <c r="E1" s="7"/>
      <c r="F1" s="7"/>
      <c r="G1" s="7"/>
      <c r="H1" s="7"/>
      <c r="I1" s="7"/>
      <c r="J1" s="7"/>
      <c r="K1" s="43"/>
      <c r="L1" s="43"/>
      <c r="M1" s="43"/>
      <c r="N1" s="43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s="15" customFormat="1" ht="13.8" x14ac:dyDescent="0.25">
      <c r="A2" s="18"/>
      <c r="B2" s="18"/>
      <c r="C2" s="19"/>
      <c r="D2" s="19"/>
      <c r="E2" s="19"/>
      <c r="K2" s="43"/>
      <c r="L2" s="43"/>
      <c r="M2" s="43"/>
      <c r="N2" s="43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s="15" customFormat="1" ht="15.6" x14ac:dyDescent="0.3">
      <c r="A3" s="64" t="s">
        <v>14</v>
      </c>
      <c r="B3" s="65"/>
      <c r="C3" s="19"/>
      <c r="D3" s="19"/>
      <c r="E3" s="19"/>
      <c r="K3" s="43"/>
      <c r="L3" s="43"/>
      <c r="M3" s="43"/>
      <c r="N3" s="43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15" customFormat="1" ht="15.6" x14ac:dyDescent="0.25">
      <c r="A4" s="16" t="s">
        <v>126</v>
      </c>
      <c r="B4" s="66"/>
      <c r="C4" s="19"/>
      <c r="D4" s="20"/>
      <c r="E4" s="19"/>
      <c r="K4" s="43"/>
      <c r="L4" s="43"/>
      <c r="M4" s="43"/>
      <c r="N4" s="43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6" spans="1:26" ht="28.8" x14ac:dyDescent="0.3">
      <c r="A6" s="9" t="s">
        <v>68</v>
      </c>
      <c r="B6" s="8"/>
      <c r="C6" s="11" t="s">
        <v>110</v>
      </c>
      <c r="D6" s="11"/>
      <c r="E6" s="11"/>
      <c r="F6" s="11"/>
      <c r="G6" s="11" t="s">
        <v>111</v>
      </c>
      <c r="H6" s="11"/>
      <c r="I6" s="11"/>
      <c r="J6" s="11"/>
      <c r="L6" s="49" t="s">
        <v>83</v>
      </c>
      <c r="M6" s="49" t="s">
        <v>81</v>
      </c>
    </row>
    <row r="7" spans="1:26" ht="31.2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</row>
    <row r="8" spans="1:26" ht="15.6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</row>
    <row r="9" spans="1:26" ht="15.6" x14ac:dyDescent="0.3">
      <c r="A9" s="58">
        <v>2363</v>
      </c>
      <c r="B9" s="55" t="s">
        <v>18</v>
      </c>
      <c r="C9" s="59">
        <v>44.46</v>
      </c>
      <c r="D9" s="59">
        <v>76.3</v>
      </c>
      <c r="E9" s="59">
        <v>45.62</v>
      </c>
      <c r="F9" s="59">
        <f>C9+D9+E9</f>
        <v>166.38</v>
      </c>
      <c r="G9" s="59">
        <v>369.58</v>
      </c>
      <c r="H9" s="59">
        <v>684.14</v>
      </c>
      <c r="I9" s="59">
        <v>375.48</v>
      </c>
      <c r="J9" s="59">
        <f>SUM(G9:I9)</f>
        <v>1429.2</v>
      </c>
      <c r="L9" s="50">
        <v>1594.65</v>
      </c>
      <c r="U9" s="32">
        <v>1594.65</v>
      </c>
    </row>
    <row r="10" spans="1:26" ht="15.6" x14ac:dyDescent="0.3">
      <c r="A10" s="58">
        <v>1100</v>
      </c>
      <c r="B10" s="55" t="s">
        <v>19</v>
      </c>
      <c r="C10" s="60">
        <f>M10/L9*C9</f>
        <v>37.220769447841221</v>
      </c>
      <c r="D10" s="60">
        <f>M10/L9*D9</f>
        <v>63.876399209857958</v>
      </c>
      <c r="E10" s="60">
        <f>M10/L9*E9</f>
        <v>38.191891637663431</v>
      </c>
      <c r="F10" s="60">
        <f>SUM(C10:E10)</f>
        <v>139.28906029536262</v>
      </c>
      <c r="G10" s="60">
        <f>M10/L9*G9</f>
        <v>309.40287837456492</v>
      </c>
      <c r="H10" s="60">
        <f>M10/L9*H9</f>
        <v>572.74442667670019</v>
      </c>
      <c r="I10" s="60">
        <f>M10/L9*I9</f>
        <v>314.34220675383312</v>
      </c>
      <c r="J10" s="60">
        <f>SUM(G10:I10)</f>
        <v>1196.4895118050981</v>
      </c>
      <c r="M10" s="48">
        <v>1335</v>
      </c>
    </row>
    <row r="11" spans="1:26" ht="46.8" x14ac:dyDescent="0.3">
      <c r="A11" s="58">
        <v>1200</v>
      </c>
      <c r="B11" s="55" t="s">
        <v>20</v>
      </c>
      <c r="C11" s="60">
        <f>M11/L9*C9</f>
        <v>8.7803795127457427</v>
      </c>
      <c r="D11" s="60">
        <f>M11/L9*D9</f>
        <v>15.068442573605489</v>
      </c>
      <c r="E11" s="60">
        <f>M11/L9*E9</f>
        <v>9.0094672373248024</v>
      </c>
      <c r="F11" s="60">
        <f>SUM(C11:E11)</f>
        <v>32.858289323676033</v>
      </c>
      <c r="G11" s="60">
        <f>M11/L9*G9</f>
        <v>72.988139008559855</v>
      </c>
      <c r="H11" s="60">
        <f>M11/L9*H9</f>
        <v>135.11041025303356</v>
      </c>
      <c r="I11" s="60">
        <f>M11/L9*I9</f>
        <v>74.153326573229222</v>
      </c>
      <c r="J11" s="60">
        <f>SUM(G11:I11)</f>
        <v>282.25187583482261</v>
      </c>
      <c r="M11" s="48">
        <f>M10*0.2359</f>
        <v>314.92649999999998</v>
      </c>
    </row>
    <row r="12" spans="1:26" ht="15.6" x14ac:dyDescent="0.3">
      <c r="A12" s="58">
        <v>2222</v>
      </c>
      <c r="B12" s="55" t="s">
        <v>21</v>
      </c>
      <c r="C12" s="60">
        <f>M12/L9*C9</f>
        <v>5.179402502116452</v>
      </c>
      <c r="D12" s="60">
        <f>M12/L9*D9</f>
        <v>8.8886282256294482</v>
      </c>
      <c r="E12" s="60">
        <f>M12/L9*E9</f>
        <v>5.3145376101338844</v>
      </c>
      <c r="F12" s="60">
        <f t="shared" ref="F12:F13" si="0">SUM(C12:E12)</f>
        <v>19.382568337879782</v>
      </c>
      <c r="G12" s="60">
        <f>M12/L9*G9</f>
        <v>43.054511397485335</v>
      </c>
      <c r="H12" s="60">
        <f>M12/L9*H9</f>
        <v>79.699424826764485</v>
      </c>
      <c r="I12" s="60">
        <f>M12/L9*I9</f>
        <v>43.741836515849876</v>
      </c>
      <c r="J12" s="60">
        <f t="shared" ref="J12:J13" si="1">SUM(G12:I12)</f>
        <v>166.49577274009971</v>
      </c>
      <c r="M12" s="48">
        <f>1429*0.13</f>
        <v>185.77</v>
      </c>
      <c r="N12" s="43"/>
    </row>
    <row r="13" spans="1:26" ht="15.6" x14ac:dyDescent="0.3">
      <c r="A13" s="58">
        <v>2223</v>
      </c>
      <c r="B13" s="55" t="s">
        <v>22</v>
      </c>
      <c r="C13" s="60">
        <f>M13/L9*C9</f>
        <v>24.769794751199321</v>
      </c>
      <c r="D13" s="60">
        <f>M13/L9*D9</f>
        <v>42.508667105634458</v>
      </c>
      <c r="E13" s="60">
        <f>M13/L9*E9</f>
        <v>25.416060201298087</v>
      </c>
      <c r="F13" s="60">
        <f t="shared" si="0"/>
        <v>92.694522058131867</v>
      </c>
      <c r="G13" s="60">
        <f>M13/L9*G9</f>
        <v>205.90240090301944</v>
      </c>
      <c r="H13" s="60">
        <f>M13/L9*H9</f>
        <v>381.15176295738871</v>
      </c>
      <c r="I13" s="60">
        <f>M13/L9*I9</f>
        <v>209.18944069231492</v>
      </c>
      <c r="J13" s="60">
        <f t="shared" si="1"/>
        <v>796.24360455272313</v>
      </c>
      <c r="M13" s="48">
        <f>6834*0.13</f>
        <v>888.42000000000007</v>
      </c>
      <c r="N13" s="43"/>
    </row>
    <row r="14" spans="1:26" ht="15.6" x14ac:dyDescent="0.3">
      <c r="A14" s="56"/>
      <c r="B14" s="61" t="s">
        <v>23</v>
      </c>
      <c r="C14" s="60">
        <f>SUM(C9:C13)</f>
        <v>120.41034621390273</v>
      </c>
      <c r="D14" s="60">
        <f t="shared" ref="D14:J14" si="2">SUM(D9:D13)</f>
        <v>206.64213711472735</v>
      </c>
      <c r="E14" s="60">
        <f t="shared" si="2"/>
        <v>123.5519566864202</v>
      </c>
      <c r="F14" s="60">
        <f t="shared" si="2"/>
        <v>450.60444001505027</v>
      </c>
      <c r="G14" s="60">
        <f t="shared" si="2"/>
        <v>1000.9279296836296</v>
      </c>
      <c r="H14" s="60">
        <f t="shared" si="2"/>
        <v>1852.8460247138867</v>
      </c>
      <c r="I14" s="60">
        <f t="shared" si="2"/>
        <v>1016.9068105352271</v>
      </c>
      <c r="J14" s="60">
        <f t="shared" si="2"/>
        <v>3870.6807649327429</v>
      </c>
      <c r="M14" s="48">
        <f>SUM(M10:M13)</f>
        <v>2724.1165000000001</v>
      </c>
    </row>
    <row r="15" spans="1:26" ht="15.6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</row>
    <row r="16" spans="1:26" ht="15.6" x14ac:dyDescent="0.3">
      <c r="A16" s="58">
        <v>1100</v>
      </c>
      <c r="B16" s="55" t="s">
        <v>25</v>
      </c>
      <c r="C16" s="60">
        <f t="shared" ref="C16:J34" si="3">$V16/$U$9*C$9</f>
        <v>16.126212021446712</v>
      </c>
      <c r="D16" s="60">
        <f t="shared" si="3"/>
        <v>27.674988241933963</v>
      </c>
      <c r="E16" s="60">
        <f t="shared" si="3"/>
        <v>16.546958893801147</v>
      </c>
      <c r="F16" s="60">
        <f t="shared" si="3"/>
        <v>60.348159157181819</v>
      </c>
      <c r="G16" s="60">
        <f t="shared" si="3"/>
        <v>134.051404383407</v>
      </c>
      <c r="H16" s="60">
        <f t="shared" si="3"/>
        <v>248.14634935565797</v>
      </c>
      <c r="I16" s="60">
        <f t="shared" si="3"/>
        <v>136.19141002727872</v>
      </c>
      <c r="J16" s="60">
        <f t="shared" si="3"/>
        <v>518.3891637663437</v>
      </c>
      <c r="V16" s="30">
        <v>578.4</v>
      </c>
      <c r="W16" s="37">
        <v>1100</v>
      </c>
      <c r="X16" s="30"/>
    </row>
    <row r="17" spans="1:24" ht="46.8" x14ac:dyDescent="0.3">
      <c r="A17" s="58">
        <v>1200</v>
      </c>
      <c r="B17" s="55" t="s">
        <v>26</v>
      </c>
      <c r="C17" s="60">
        <f t="shared" si="3"/>
        <v>3.804173415859279</v>
      </c>
      <c r="D17" s="60">
        <f t="shared" si="3"/>
        <v>6.5285297262722217</v>
      </c>
      <c r="E17" s="60">
        <f t="shared" si="3"/>
        <v>3.9034276030476902</v>
      </c>
      <c r="F17" s="60">
        <f t="shared" si="3"/>
        <v>14.236130745179191</v>
      </c>
      <c r="G17" s="60">
        <f t="shared" si="3"/>
        <v>31.622726294045709</v>
      </c>
      <c r="H17" s="60">
        <f t="shared" si="3"/>
        <v>58.537723812999708</v>
      </c>
      <c r="I17" s="60">
        <f t="shared" si="3"/>
        <v>32.127553625435048</v>
      </c>
      <c r="J17" s="60">
        <f t="shared" si="3"/>
        <v>122.28800373248048</v>
      </c>
      <c r="V17" s="30">
        <f>V16*0.2359</f>
        <v>136.44456</v>
      </c>
      <c r="W17" s="37">
        <v>1200</v>
      </c>
      <c r="X17" s="30"/>
    </row>
    <row r="18" spans="1:24" ht="15.6" x14ac:dyDescent="0.3">
      <c r="A18" s="58">
        <v>2210</v>
      </c>
      <c r="B18" s="55" t="s">
        <v>27</v>
      </c>
      <c r="C18" s="60">
        <f t="shared" si="3"/>
        <v>0.48847032264133194</v>
      </c>
      <c r="D18" s="60">
        <f t="shared" si="3"/>
        <v>0.8382880255855516</v>
      </c>
      <c r="E18" s="60">
        <f t="shared" si="3"/>
        <v>0.50121493744708867</v>
      </c>
      <c r="F18" s="60">
        <f t="shared" si="3"/>
        <v>1.8279732856739721</v>
      </c>
      <c r="G18" s="60">
        <f t="shared" si="3"/>
        <v>4.0604782240617059</v>
      </c>
      <c r="H18" s="60">
        <f t="shared" si="3"/>
        <v>7.5164661838020876</v>
      </c>
      <c r="I18" s="60">
        <f t="shared" si="3"/>
        <v>4.1252999717806418</v>
      </c>
      <c r="J18" s="60">
        <f t="shared" si="3"/>
        <v>15.702244379644435</v>
      </c>
      <c r="V18" s="36">
        <v>17.52</v>
      </c>
      <c r="W18" s="37">
        <v>2210</v>
      </c>
      <c r="X18" s="36" t="s">
        <v>108</v>
      </c>
    </row>
    <row r="19" spans="1:24" ht="15.6" x14ac:dyDescent="0.3">
      <c r="A19" s="58">
        <v>2221</v>
      </c>
      <c r="B19" s="55" t="s">
        <v>28</v>
      </c>
      <c r="C19" s="60">
        <f t="shared" si="3"/>
        <v>0.33707797949393281</v>
      </c>
      <c r="D19" s="60">
        <f t="shared" si="3"/>
        <v>0.57847615464208446</v>
      </c>
      <c r="E19" s="60">
        <f t="shared" si="3"/>
        <v>0.34587263662872725</v>
      </c>
      <c r="F19" s="60">
        <f t="shared" si="3"/>
        <v>1.2614267707647444</v>
      </c>
      <c r="G19" s="60">
        <f t="shared" si="3"/>
        <v>2.8020080895494308</v>
      </c>
      <c r="H19" s="60">
        <f t="shared" si="3"/>
        <v>5.1868764932743856</v>
      </c>
      <c r="I19" s="60">
        <f t="shared" si="3"/>
        <v>2.8467395353212304</v>
      </c>
      <c r="J19" s="60">
        <f t="shared" si="3"/>
        <v>10.835624118145047</v>
      </c>
      <c r="V19" s="36">
        <v>12.09</v>
      </c>
      <c r="W19" s="37">
        <v>2221</v>
      </c>
      <c r="X19" s="36" t="s">
        <v>89</v>
      </c>
    </row>
    <row r="20" spans="1:24" ht="15.6" x14ac:dyDescent="0.3">
      <c r="A20" s="58">
        <v>2224</v>
      </c>
      <c r="B20" s="55" t="s">
        <v>29</v>
      </c>
      <c r="C20" s="60">
        <f t="shared" si="3"/>
        <v>0.36244944031605686</v>
      </c>
      <c r="D20" s="60">
        <f t="shared" si="3"/>
        <v>0.62201737058288653</v>
      </c>
      <c r="E20" s="60">
        <f t="shared" si="3"/>
        <v>0.37190606089110462</v>
      </c>
      <c r="F20" s="60">
        <f t="shared" si="3"/>
        <v>1.3563728717900481</v>
      </c>
      <c r="G20" s="60">
        <f t="shared" si="3"/>
        <v>3.0129119242467</v>
      </c>
      <c r="H20" s="60">
        <f t="shared" si="3"/>
        <v>5.5772865519079424</v>
      </c>
      <c r="I20" s="60">
        <f t="shared" si="3"/>
        <v>3.0610102530335812</v>
      </c>
      <c r="J20" s="60">
        <f t="shared" si="3"/>
        <v>11.651208729188223</v>
      </c>
      <c r="V20" s="36">
        <v>13</v>
      </c>
      <c r="W20" s="37">
        <v>2224</v>
      </c>
      <c r="X20" s="36" t="s">
        <v>90</v>
      </c>
    </row>
    <row r="21" spans="1:24" ht="15.6" x14ac:dyDescent="0.3">
      <c r="A21" s="58">
        <v>2234</v>
      </c>
      <c r="B21" s="55" t="s">
        <v>30</v>
      </c>
      <c r="C21" s="60">
        <f t="shared" si="3"/>
        <v>1.6728435706894931</v>
      </c>
      <c r="D21" s="60">
        <f t="shared" si="3"/>
        <v>2.8708494026902454</v>
      </c>
      <c r="E21" s="60">
        <f t="shared" si="3"/>
        <v>1.7164895118050982</v>
      </c>
      <c r="F21" s="60">
        <f t="shared" si="3"/>
        <v>6.2601824851848367</v>
      </c>
      <c r="G21" s="60">
        <f t="shared" si="3"/>
        <v>13.905747342677076</v>
      </c>
      <c r="H21" s="60">
        <f t="shared" si="3"/>
        <v>25.741322547267423</v>
      </c>
      <c r="I21" s="60">
        <f t="shared" si="3"/>
        <v>14.12773962938576</v>
      </c>
      <c r="J21" s="60">
        <f t="shared" si="3"/>
        <v>53.774809519330262</v>
      </c>
      <c r="V21" s="36">
        <f>2*30</f>
        <v>60</v>
      </c>
      <c r="W21" s="37">
        <v>2234</v>
      </c>
      <c r="X21" s="36" t="s">
        <v>91</v>
      </c>
    </row>
    <row r="22" spans="1:24" ht="15.6" x14ac:dyDescent="0.3">
      <c r="A22" s="58">
        <v>2235</v>
      </c>
      <c r="B22" s="55" t="s">
        <v>31</v>
      </c>
      <c r="C22" s="60">
        <f t="shared" si="3"/>
        <v>1.1152290471263286</v>
      </c>
      <c r="D22" s="60">
        <f t="shared" si="3"/>
        <v>1.9138996017934968</v>
      </c>
      <c r="E22" s="60">
        <f t="shared" si="3"/>
        <v>1.1443263412033986</v>
      </c>
      <c r="F22" s="60">
        <f t="shared" si="3"/>
        <v>4.1734549901232239</v>
      </c>
      <c r="G22" s="60">
        <f t="shared" si="3"/>
        <v>9.2704982284513839</v>
      </c>
      <c r="H22" s="60">
        <f t="shared" si="3"/>
        <v>17.160881698178283</v>
      </c>
      <c r="I22" s="60">
        <f t="shared" si="3"/>
        <v>9.4184930862571719</v>
      </c>
      <c r="J22" s="60">
        <f t="shared" si="3"/>
        <v>35.849873012886839</v>
      </c>
      <c r="V22" s="36">
        <f>2*20</f>
        <v>40</v>
      </c>
      <c r="W22" s="37">
        <v>2235</v>
      </c>
      <c r="X22" s="36" t="s">
        <v>92</v>
      </c>
    </row>
    <row r="23" spans="1:24" ht="15.6" x14ac:dyDescent="0.3">
      <c r="A23" s="58">
        <v>2243</v>
      </c>
      <c r="B23" s="55" t="s">
        <v>32</v>
      </c>
      <c r="C23" s="60">
        <f t="shared" si="3"/>
        <v>1.8727483773868876</v>
      </c>
      <c r="D23" s="60">
        <f t="shared" si="3"/>
        <v>3.2139159063117297</v>
      </c>
      <c r="E23" s="60">
        <f t="shared" si="3"/>
        <v>1.9216100084658074</v>
      </c>
      <c r="F23" s="60">
        <f t="shared" si="3"/>
        <v>7.0082742921644252</v>
      </c>
      <c r="G23" s="60">
        <f t="shared" si="3"/>
        <v>15.567484150126987</v>
      </c>
      <c r="H23" s="60">
        <f t="shared" si="3"/>
        <v>28.817410591665883</v>
      </c>
      <c r="I23" s="60">
        <f t="shared" si="3"/>
        <v>15.816004515097358</v>
      </c>
      <c r="J23" s="60">
        <f t="shared" si="3"/>
        <v>60.200899256890231</v>
      </c>
      <c r="V23" s="36">
        <v>67.17</v>
      </c>
      <c r="W23" s="37">
        <v>2243</v>
      </c>
      <c r="X23" s="36" t="s">
        <v>93</v>
      </c>
    </row>
    <row r="24" spans="1:24" ht="15.6" x14ac:dyDescent="0.3">
      <c r="A24" s="58">
        <v>2244</v>
      </c>
      <c r="B24" s="55" t="s">
        <v>33</v>
      </c>
      <c r="C24" s="60">
        <f t="shared" si="3"/>
        <v>0.42796914683472859</v>
      </c>
      <c r="D24" s="60">
        <f t="shared" si="3"/>
        <v>0.7344589721882544</v>
      </c>
      <c r="E24" s="60">
        <f t="shared" si="3"/>
        <v>0.43913523343680422</v>
      </c>
      <c r="F24" s="60">
        <f t="shared" si="3"/>
        <v>1.6015633524597872</v>
      </c>
      <c r="G24" s="60">
        <f t="shared" si="3"/>
        <v>3.5575536951682181</v>
      </c>
      <c r="H24" s="60">
        <f t="shared" si="3"/>
        <v>6.5854883516759157</v>
      </c>
      <c r="I24" s="60">
        <f t="shared" si="3"/>
        <v>3.6143467218511898</v>
      </c>
      <c r="J24" s="60">
        <f t="shared" si="3"/>
        <v>13.757388768695323</v>
      </c>
      <c r="V24" s="36">
        <v>15.35</v>
      </c>
      <c r="W24" s="37">
        <v>2244</v>
      </c>
      <c r="X24" s="36" t="s">
        <v>94</v>
      </c>
    </row>
    <row r="25" spans="1:24" ht="15.6" x14ac:dyDescent="0.3">
      <c r="A25" s="58">
        <v>2247</v>
      </c>
      <c r="B25" s="55" t="s">
        <v>34</v>
      </c>
      <c r="C25" s="60">
        <f t="shared" si="3"/>
        <v>2.1468159157181827E-2</v>
      </c>
      <c r="D25" s="60">
        <f t="shared" si="3"/>
        <v>3.6842567334524817E-2</v>
      </c>
      <c r="E25" s="60">
        <f t="shared" si="3"/>
        <v>2.2028282068165424E-2</v>
      </c>
      <c r="F25" s="60">
        <f t="shared" si="3"/>
        <v>8.0339008559872069E-2</v>
      </c>
      <c r="G25" s="60">
        <f t="shared" si="3"/>
        <v>0.17845709089768913</v>
      </c>
      <c r="H25" s="60">
        <f t="shared" si="3"/>
        <v>0.33034697268993196</v>
      </c>
      <c r="I25" s="60">
        <f t="shared" si="3"/>
        <v>0.18130599191045058</v>
      </c>
      <c r="J25" s="60">
        <f t="shared" si="3"/>
        <v>0.6901100554980717</v>
      </c>
      <c r="V25" s="36">
        <v>0.77</v>
      </c>
      <c r="W25" s="37">
        <v>2247</v>
      </c>
      <c r="X25" s="36" t="s">
        <v>95</v>
      </c>
    </row>
    <row r="26" spans="1:24" ht="15.6" x14ac:dyDescent="0.3">
      <c r="A26" s="58">
        <v>2251</v>
      </c>
      <c r="B26" s="55" t="s">
        <v>35</v>
      </c>
      <c r="C26" s="60">
        <f t="shared" si="3"/>
        <v>0</v>
      </c>
      <c r="D26" s="60">
        <f t="shared" si="3"/>
        <v>0</v>
      </c>
      <c r="E26" s="60">
        <f t="shared" si="3"/>
        <v>0</v>
      </c>
      <c r="F26" s="60">
        <f t="shared" si="3"/>
        <v>0</v>
      </c>
      <c r="G26" s="60">
        <f t="shared" si="3"/>
        <v>0</v>
      </c>
      <c r="H26" s="60">
        <f t="shared" si="3"/>
        <v>0</v>
      </c>
      <c r="I26" s="60">
        <f t="shared" si="3"/>
        <v>0</v>
      </c>
      <c r="J26" s="60">
        <f t="shared" si="3"/>
        <v>0</v>
      </c>
      <c r="V26" s="36">
        <v>0</v>
      </c>
      <c r="W26" s="37">
        <v>2251</v>
      </c>
      <c r="X26" s="36" t="s">
        <v>96</v>
      </c>
    </row>
    <row r="27" spans="1:24" ht="15.6" x14ac:dyDescent="0.3">
      <c r="A27" s="58">
        <v>2311</v>
      </c>
      <c r="B27" s="55" t="s">
        <v>36</v>
      </c>
      <c r="C27" s="60">
        <f t="shared" si="3"/>
        <v>0.17202408051923618</v>
      </c>
      <c r="D27" s="60">
        <f t="shared" si="3"/>
        <v>0.29521901357664687</v>
      </c>
      <c r="E27" s="60">
        <f t="shared" si="3"/>
        <v>0.17651233813062425</v>
      </c>
      <c r="F27" s="60">
        <f t="shared" si="3"/>
        <v>0.64375543222650733</v>
      </c>
      <c r="G27" s="60">
        <f t="shared" si="3"/>
        <v>1.4299743517386259</v>
      </c>
      <c r="H27" s="60">
        <f t="shared" si="3"/>
        <v>2.6470660019440002</v>
      </c>
      <c r="I27" s="60">
        <f t="shared" si="3"/>
        <v>1.4528025585551689</v>
      </c>
      <c r="J27" s="60">
        <f t="shared" si="3"/>
        <v>5.529842912237795</v>
      </c>
      <c r="V27" s="36">
        <v>6.17</v>
      </c>
      <c r="W27" s="37">
        <v>2311</v>
      </c>
      <c r="X27" s="36" t="s">
        <v>97</v>
      </c>
    </row>
    <row r="28" spans="1:24" ht="15.6" x14ac:dyDescent="0.3">
      <c r="A28" s="58">
        <v>2312</v>
      </c>
      <c r="B28" s="55" t="s">
        <v>37</v>
      </c>
      <c r="C28" s="60">
        <f t="shared" si="3"/>
        <v>2.8318453579155296</v>
      </c>
      <c r="D28" s="60">
        <f t="shared" si="3"/>
        <v>4.8598695638541365</v>
      </c>
      <c r="E28" s="60">
        <f t="shared" si="3"/>
        <v>2.9057306619007299</v>
      </c>
      <c r="F28" s="60">
        <f t="shared" si="3"/>
        <v>10.597445583670396</v>
      </c>
      <c r="G28" s="60">
        <f t="shared" si="3"/>
        <v>23.540112626595175</v>
      </c>
      <c r="H28" s="60">
        <f t="shared" si="3"/>
        <v>43.575768852099202</v>
      </c>
      <c r="I28" s="60">
        <f t="shared" si="3"/>
        <v>23.915908569278525</v>
      </c>
      <c r="J28" s="60">
        <f t="shared" si="3"/>
        <v>91.031790047972905</v>
      </c>
      <c r="V28" s="36">
        <v>101.57</v>
      </c>
      <c r="W28" s="37">
        <v>2312</v>
      </c>
      <c r="X28" s="36" t="s">
        <v>98</v>
      </c>
    </row>
    <row r="29" spans="1:24" ht="15.6" x14ac:dyDescent="0.3">
      <c r="A29" s="58">
        <v>2321</v>
      </c>
      <c r="B29" s="55" t="s">
        <v>38</v>
      </c>
      <c r="C29" s="60">
        <f t="shared" si="3"/>
        <v>0</v>
      </c>
      <c r="D29" s="60">
        <f t="shared" si="3"/>
        <v>0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0">
        <f t="shared" si="3"/>
        <v>0</v>
      </c>
      <c r="J29" s="60">
        <f t="shared" si="3"/>
        <v>0</v>
      </c>
      <c r="V29" s="36">
        <v>0</v>
      </c>
      <c r="W29" s="37">
        <v>2321</v>
      </c>
      <c r="X29" s="36" t="s">
        <v>99</v>
      </c>
    </row>
    <row r="30" spans="1:24" ht="15.6" x14ac:dyDescent="0.3">
      <c r="A30" s="58">
        <v>2341</v>
      </c>
      <c r="B30" s="55" t="s">
        <v>39</v>
      </c>
      <c r="C30" s="60">
        <f t="shared" si="3"/>
        <v>3.6244944031605681E-3</v>
      </c>
      <c r="D30" s="60">
        <f t="shared" si="3"/>
        <v>6.2201737058288648E-3</v>
      </c>
      <c r="E30" s="60">
        <f t="shared" si="3"/>
        <v>3.7190606089110463E-3</v>
      </c>
      <c r="F30" s="60">
        <f t="shared" si="3"/>
        <v>1.3563728717900479E-2</v>
      </c>
      <c r="G30" s="60">
        <f t="shared" si="3"/>
        <v>3.0129119242466997E-2</v>
      </c>
      <c r="H30" s="60">
        <f t="shared" si="3"/>
        <v>5.5772865519079423E-2</v>
      </c>
      <c r="I30" s="60">
        <f t="shared" si="3"/>
        <v>3.0610102530335814E-2</v>
      </c>
      <c r="J30" s="60">
        <f t="shared" si="3"/>
        <v>0.11651208729188224</v>
      </c>
      <c r="V30" s="36">
        <v>0.13</v>
      </c>
      <c r="W30" s="37" t="s">
        <v>104</v>
      </c>
      <c r="X30" s="36" t="s">
        <v>100</v>
      </c>
    </row>
    <row r="31" spans="1:24" ht="15.6" x14ac:dyDescent="0.3">
      <c r="A31" s="58">
        <v>2351</v>
      </c>
      <c r="B31" s="55" t="s">
        <v>40</v>
      </c>
      <c r="C31" s="60">
        <f t="shared" si="3"/>
        <v>0.54869269118615371</v>
      </c>
      <c r="D31" s="60">
        <f t="shared" si="3"/>
        <v>0.94163860408240052</v>
      </c>
      <c r="E31" s="60">
        <f t="shared" si="3"/>
        <v>0.56300855987207221</v>
      </c>
      <c r="F31" s="60">
        <f t="shared" si="3"/>
        <v>2.0533398551406266</v>
      </c>
      <c r="G31" s="60">
        <f t="shared" si="3"/>
        <v>4.5610851283980809</v>
      </c>
      <c r="H31" s="60">
        <f t="shared" si="3"/>
        <v>8.443153795503715</v>
      </c>
      <c r="I31" s="60">
        <f t="shared" si="3"/>
        <v>4.6338985984385292</v>
      </c>
      <c r="J31" s="60">
        <f t="shared" si="3"/>
        <v>17.638137522340326</v>
      </c>
      <c r="V31" s="36">
        <v>19.68</v>
      </c>
      <c r="W31" s="37" t="s">
        <v>102</v>
      </c>
      <c r="X31" s="36" t="s">
        <v>97</v>
      </c>
    </row>
    <row r="32" spans="1:24" ht="15.6" x14ac:dyDescent="0.3">
      <c r="A32" s="58">
        <v>2352</v>
      </c>
      <c r="B32" s="55" t="s">
        <v>41</v>
      </c>
      <c r="C32" s="60">
        <f t="shared" si="3"/>
        <v>0.14832546326780172</v>
      </c>
      <c r="D32" s="60">
        <f t="shared" si="3"/>
        <v>0.25454864703853508</v>
      </c>
      <c r="E32" s="60">
        <f t="shared" si="3"/>
        <v>0.15219540338005205</v>
      </c>
      <c r="F32" s="60">
        <f t="shared" si="3"/>
        <v>0.5550695136863889</v>
      </c>
      <c r="G32" s="60">
        <f t="shared" si="3"/>
        <v>1.2329762643840341</v>
      </c>
      <c r="H32" s="60">
        <f t="shared" si="3"/>
        <v>2.2823972658577119</v>
      </c>
      <c r="I32" s="60">
        <f t="shared" si="3"/>
        <v>1.252659580472204</v>
      </c>
      <c r="J32" s="60">
        <f t="shared" si="3"/>
        <v>4.76803311071395</v>
      </c>
      <c r="V32" s="36">
        <v>5.32</v>
      </c>
      <c r="W32" s="37" t="s">
        <v>103</v>
      </c>
      <c r="X32" s="36" t="s">
        <v>98</v>
      </c>
    </row>
    <row r="33" spans="1:24" ht="15.6" x14ac:dyDescent="0.3">
      <c r="A33" s="58">
        <v>2362</v>
      </c>
      <c r="B33" s="55" t="s">
        <v>42</v>
      </c>
      <c r="C33" s="60">
        <f t="shared" si="3"/>
        <v>0.7388392437211927</v>
      </c>
      <c r="D33" s="60">
        <f t="shared" si="3"/>
        <v>1.2679584861881916</v>
      </c>
      <c r="E33" s="60">
        <f t="shared" si="3"/>
        <v>0.75811620104725164</v>
      </c>
      <c r="F33" s="60">
        <f t="shared" si="3"/>
        <v>2.7649139309566362</v>
      </c>
      <c r="G33" s="60">
        <f t="shared" si="3"/>
        <v>6.1417050763490417</v>
      </c>
      <c r="H33" s="60">
        <f t="shared" si="3"/>
        <v>11.369084125043113</v>
      </c>
      <c r="I33" s="60">
        <f t="shared" si="3"/>
        <v>6.2397516696453765</v>
      </c>
      <c r="J33" s="60">
        <f t="shared" si="3"/>
        <v>23.750540871037533</v>
      </c>
      <c r="V33" s="36">
        <v>26.5</v>
      </c>
      <c r="W33" s="37">
        <v>2362</v>
      </c>
      <c r="X33" s="36" t="s">
        <v>101</v>
      </c>
    </row>
    <row r="34" spans="1:24" ht="15.6" x14ac:dyDescent="0.3">
      <c r="A34" s="58" t="s">
        <v>13</v>
      </c>
      <c r="B34" s="55" t="s">
        <v>43</v>
      </c>
      <c r="C34" s="60">
        <f t="shared" si="3"/>
        <v>3.4644590348979398</v>
      </c>
      <c r="D34" s="60">
        <f t="shared" si="3"/>
        <v>5.9455291129714976</v>
      </c>
      <c r="E34" s="60">
        <f t="shared" si="3"/>
        <v>3.5548497789483582</v>
      </c>
      <c r="F34" s="60">
        <f t="shared" si="3"/>
        <v>12.964837926817795</v>
      </c>
      <c r="G34" s="60">
        <f t="shared" si="3"/>
        <v>28.79880274668422</v>
      </c>
      <c r="H34" s="60">
        <f t="shared" si="3"/>
        <v>53.310278995390831</v>
      </c>
      <c r="I34" s="60">
        <f t="shared" si="3"/>
        <v>29.258548772457903</v>
      </c>
      <c r="J34" s="60">
        <f t="shared" si="3"/>
        <v>111.36763051453296</v>
      </c>
      <c r="V34" s="36">
        <v>124.26</v>
      </c>
      <c r="W34" s="36">
        <v>5239</v>
      </c>
      <c r="X34" s="36" t="s">
        <v>43</v>
      </c>
    </row>
    <row r="35" spans="1:24" ht="15.6" x14ac:dyDescent="0.3">
      <c r="A35" s="56"/>
      <c r="B35" s="61" t="s">
        <v>44</v>
      </c>
      <c r="C35" s="60">
        <f>SUM(C16:C34)</f>
        <v>34.136451846862947</v>
      </c>
      <c r="D35" s="60">
        <f t="shared" ref="D35:J35" si="4">SUM(D16:D34)</f>
        <v>58.583249570752201</v>
      </c>
      <c r="E35" s="60">
        <f t="shared" si="4"/>
        <v>35.027101512683025</v>
      </c>
      <c r="F35" s="60">
        <f t="shared" si="4"/>
        <v>127.74680293029817</v>
      </c>
      <c r="G35" s="60">
        <f t="shared" si="4"/>
        <v>283.76405473602358</v>
      </c>
      <c r="H35" s="60">
        <f t="shared" si="4"/>
        <v>525.28367446047719</v>
      </c>
      <c r="I35" s="60">
        <f t="shared" si="4"/>
        <v>288.29408320872915</v>
      </c>
      <c r="J35" s="60">
        <f t="shared" si="4"/>
        <v>1097.3418124052298</v>
      </c>
    </row>
    <row r="36" spans="1:24" ht="22.5" customHeight="1" x14ac:dyDescent="0.3">
      <c r="A36" s="55"/>
      <c r="B36" s="55" t="s">
        <v>45</v>
      </c>
      <c r="C36" s="60">
        <f>C14+C35</f>
        <v>154.54679806076567</v>
      </c>
      <c r="D36" s="60">
        <f t="shared" ref="D36:J36" si="5">D14+D35</f>
        <v>265.22538668547952</v>
      </c>
      <c r="E36" s="60">
        <f t="shared" si="5"/>
        <v>158.57905819910323</v>
      </c>
      <c r="F36" s="60">
        <f t="shared" si="5"/>
        <v>578.35124294534842</v>
      </c>
      <c r="G36" s="60">
        <f t="shared" si="5"/>
        <v>1284.6919844196532</v>
      </c>
      <c r="H36" s="60">
        <f t="shared" si="5"/>
        <v>2378.1296991743639</v>
      </c>
      <c r="I36" s="60">
        <f t="shared" si="5"/>
        <v>1305.2008937439564</v>
      </c>
      <c r="J36" s="60">
        <f t="shared" si="5"/>
        <v>4968.0225773379725</v>
      </c>
    </row>
    <row r="37" spans="1:24" ht="32.25" customHeight="1" x14ac:dyDescent="0.3">
      <c r="A37" s="55"/>
      <c r="B37" s="55" t="s">
        <v>46</v>
      </c>
      <c r="C37" s="62">
        <v>105</v>
      </c>
      <c r="D37" s="62">
        <v>105</v>
      </c>
      <c r="E37" s="62">
        <v>105</v>
      </c>
      <c r="F37" s="62" t="s">
        <v>47</v>
      </c>
      <c r="G37" s="62">
        <v>787</v>
      </c>
      <c r="H37" s="62">
        <v>787</v>
      </c>
      <c r="I37" s="62">
        <v>787</v>
      </c>
      <c r="J37" s="62" t="s">
        <v>47</v>
      </c>
    </row>
    <row r="38" spans="1:24" ht="50.25" customHeight="1" x14ac:dyDescent="0.3">
      <c r="A38" s="55"/>
      <c r="B38" s="55" t="s">
        <v>123</v>
      </c>
      <c r="C38" s="60">
        <f>C14/C37</f>
        <v>1.1467652020371688</v>
      </c>
      <c r="D38" s="60">
        <f t="shared" ref="D38:E38" si="6">D14/D37</f>
        <v>1.9680203534735938</v>
      </c>
      <c r="E38" s="60">
        <f t="shared" si="6"/>
        <v>1.1766853017754304</v>
      </c>
      <c r="F38" s="60">
        <f>SUM(C38:E38)</f>
        <v>4.2914708572861926</v>
      </c>
      <c r="G38" s="60">
        <f>G14/G37</f>
        <v>1.271827102520495</v>
      </c>
      <c r="H38" s="63">
        <f t="shared" ref="H38:I38" si="7">H14/H37</f>
        <v>2.3543151521142143</v>
      </c>
      <c r="I38" s="60">
        <f t="shared" si="7"/>
        <v>1.2921306360041005</v>
      </c>
      <c r="J38" s="60">
        <f>SUM(G38:I38)</f>
        <v>4.9182728906388098</v>
      </c>
    </row>
    <row r="39" spans="1:24" ht="54" customHeight="1" x14ac:dyDescent="0.3">
      <c r="A39" s="55"/>
      <c r="B39" s="55" t="s">
        <v>125</v>
      </c>
      <c r="C39" s="59">
        <f>C9/C37</f>
        <v>0.42342857142857143</v>
      </c>
      <c r="D39" s="59">
        <f>D9/D37</f>
        <v>0.72666666666666668</v>
      </c>
      <c r="E39" s="59">
        <f>E9/E37</f>
        <v>0.43447619047619046</v>
      </c>
      <c r="F39" s="59">
        <f>SUM(C39:E39)</f>
        <v>1.5845714285714285</v>
      </c>
      <c r="G39" s="59">
        <f>G9/G37</f>
        <v>0.46960609911054635</v>
      </c>
      <c r="H39" s="59">
        <f>H9/H37</f>
        <v>0.86930114358322741</v>
      </c>
      <c r="I39" s="59">
        <f>I9/I37</f>
        <v>0.47710292249047015</v>
      </c>
      <c r="J39" s="59">
        <f>G39+H39+I39</f>
        <v>1.816010165184244</v>
      </c>
    </row>
  </sheetData>
  <mergeCells count="4">
    <mergeCell ref="C6:F6"/>
    <mergeCell ref="G6:J6"/>
    <mergeCell ref="D1:J1"/>
    <mergeCell ref="A6:B6"/>
  </mergeCells>
  <pageMargins left="0.7" right="0.7" top="0.75" bottom="0.75" header="0.3" footer="0.3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FEC5-5F43-4921-ADC8-727F9B0FE040}">
  <sheetPr>
    <pageSetUpPr fitToPage="1"/>
  </sheetPr>
  <dimension ref="A1:DP39"/>
  <sheetViews>
    <sheetView zoomScale="98" zoomScaleNormal="98" workbookViewId="0">
      <selection activeCell="P1" sqref="P1:V1"/>
    </sheetView>
  </sheetViews>
  <sheetFormatPr defaultColWidth="9.109375" defaultRowHeight="15.6" x14ac:dyDescent="0.3"/>
  <cols>
    <col min="1" max="1" width="10.6640625" style="76" customWidth="1"/>
    <col min="2" max="2" width="50.109375" style="79" customWidth="1"/>
    <col min="3" max="9" width="10.6640625" style="76" customWidth="1"/>
    <col min="10" max="10" width="14.6640625" style="76" customWidth="1"/>
    <col min="11" max="22" width="10.6640625" style="76" customWidth="1"/>
    <col min="23" max="23" width="9.109375" style="73" hidden="1" customWidth="1"/>
    <col min="24" max="24" width="10.33203125" style="73" hidden="1" customWidth="1"/>
    <col min="25" max="25" width="9.109375" style="73" hidden="1" customWidth="1"/>
    <col min="26" max="26" width="31.6640625" style="73" hidden="1" customWidth="1"/>
    <col min="27" max="34" width="9.109375" style="73" hidden="1" customWidth="1"/>
    <col min="35" max="37" width="9.109375" style="76" hidden="1" customWidth="1"/>
    <col min="38" max="39" width="9.109375" style="76" customWidth="1"/>
    <col min="40" max="16384" width="9.109375" style="76"/>
  </cols>
  <sheetData>
    <row r="1" spans="1:120" s="70" customFormat="1" ht="60" customHeigh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14" t="s">
        <v>145</v>
      </c>
      <c r="Q1" s="14"/>
      <c r="R1" s="14"/>
      <c r="S1" s="14"/>
      <c r="T1" s="14"/>
      <c r="U1" s="14"/>
      <c r="V1" s="14"/>
      <c r="W1" s="72"/>
      <c r="X1" s="72"/>
      <c r="Y1" s="72"/>
      <c r="Z1" s="72"/>
      <c r="AA1" s="68"/>
      <c r="AB1" s="68"/>
      <c r="AC1" s="68"/>
      <c r="AD1" s="68"/>
      <c r="AE1" s="68"/>
      <c r="AF1" s="68"/>
      <c r="AG1" s="68"/>
      <c r="AH1" s="68"/>
    </row>
    <row r="2" spans="1:120" s="70" customFormat="1" x14ac:dyDescent="0.3">
      <c r="A2" s="65"/>
      <c r="B2" s="65"/>
      <c r="C2" s="71"/>
      <c r="D2" s="71"/>
      <c r="E2" s="71"/>
      <c r="F2" s="66"/>
      <c r="G2" s="71"/>
      <c r="H2" s="71"/>
      <c r="I2" s="71"/>
      <c r="J2" s="66"/>
      <c r="K2" s="71"/>
      <c r="L2" s="71"/>
      <c r="M2" s="71"/>
      <c r="N2" s="66"/>
      <c r="O2" s="71"/>
      <c r="P2" s="71"/>
      <c r="Q2" s="71"/>
      <c r="R2" s="66"/>
      <c r="S2" s="66"/>
      <c r="T2" s="66"/>
      <c r="U2" s="66"/>
      <c r="V2" s="66"/>
      <c r="W2" s="72"/>
      <c r="X2" s="72"/>
      <c r="Y2" s="84"/>
      <c r="Z2" s="68"/>
      <c r="AA2" s="68"/>
      <c r="AB2" s="68"/>
      <c r="AC2" s="68"/>
      <c r="AD2" s="68"/>
      <c r="AE2" s="68"/>
      <c r="AF2" s="68"/>
      <c r="AG2" s="68"/>
      <c r="AH2" s="68"/>
    </row>
    <row r="3" spans="1:120" s="70" customFormat="1" x14ac:dyDescent="0.3">
      <c r="A3" s="64" t="s">
        <v>14</v>
      </c>
      <c r="B3" s="65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84"/>
      <c r="X3" s="84"/>
      <c r="Y3" s="84"/>
      <c r="Z3" s="68"/>
      <c r="AA3" s="68"/>
      <c r="AB3" s="68"/>
      <c r="AC3" s="68"/>
      <c r="AD3" s="68"/>
      <c r="AE3" s="68"/>
      <c r="AF3" s="68"/>
      <c r="AG3" s="68"/>
      <c r="AH3" s="68"/>
    </row>
    <row r="4" spans="1:120" s="70" customFormat="1" x14ac:dyDescent="0.3">
      <c r="A4" s="16" t="s">
        <v>126</v>
      </c>
      <c r="B4" s="66"/>
      <c r="C4" s="65"/>
      <c r="D4" s="71"/>
      <c r="E4" s="71"/>
      <c r="F4" s="71"/>
      <c r="G4" s="65"/>
      <c r="H4" s="71"/>
      <c r="I4" s="71"/>
      <c r="J4" s="71"/>
      <c r="K4" s="65"/>
      <c r="L4" s="71"/>
      <c r="M4" s="71"/>
      <c r="N4" s="71"/>
      <c r="O4" s="65"/>
      <c r="P4" s="71"/>
      <c r="Q4" s="71"/>
      <c r="R4" s="71"/>
      <c r="S4" s="71"/>
      <c r="T4" s="71"/>
      <c r="U4" s="71"/>
      <c r="V4" s="71"/>
      <c r="W4" s="84"/>
      <c r="X4" s="85"/>
      <c r="Y4" s="84"/>
      <c r="Z4" s="68"/>
      <c r="AA4" s="68"/>
      <c r="AB4" s="68"/>
      <c r="AC4" s="68"/>
      <c r="AD4" s="68"/>
      <c r="AE4" s="68"/>
      <c r="AF4" s="68"/>
      <c r="AG4" s="68"/>
      <c r="AH4" s="68"/>
    </row>
    <row r="6" spans="1:120" ht="46.8" x14ac:dyDescent="0.3">
      <c r="A6" s="9" t="s">
        <v>10</v>
      </c>
      <c r="B6" s="8"/>
      <c r="C6" s="11" t="s">
        <v>105</v>
      </c>
      <c r="D6" s="11"/>
      <c r="E6" s="11"/>
      <c r="F6" s="11"/>
      <c r="G6" s="11" t="s">
        <v>106</v>
      </c>
      <c r="H6" s="11"/>
      <c r="I6" s="11"/>
      <c r="J6" s="11"/>
      <c r="K6" s="11" t="s">
        <v>107</v>
      </c>
      <c r="L6" s="11"/>
      <c r="M6" s="11"/>
      <c r="N6" s="11"/>
      <c r="O6" s="11" t="s">
        <v>70</v>
      </c>
      <c r="P6" s="11"/>
      <c r="Q6" s="11"/>
      <c r="R6" s="11"/>
      <c r="S6" s="11" t="s">
        <v>71</v>
      </c>
      <c r="T6" s="11"/>
      <c r="U6" s="11"/>
      <c r="V6" s="11"/>
      <c r="X6" s="74" t="s">
        <v>79</v>
      </c>
      <c r="Y6" s="74" t="s">
        <v>81</v>
      </c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</row>
    <row r="7" spans="1:120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  <c r="O7" s="57" t="s">
        <v>1</v>
      </c>
      <c r="P7" s="57" t="s">
        <v>2</v>
      </c>
      <c r="Q7" s="57" t="s">
        <v>3</v>
      </c>
      <c r="R7" s="57" t="s">
        <v>4</v>
      </c>
      <c r="S7" s="57" t="s">
        <v>1</v>
      </c>
      <c r="T7" s="57" t="s">
        <v>2</v>
      </c>
      <c r="U7" s="57" t="s">
        <v>3</v>
      </c>
      <c r="V7" s="57" t="s">
        <v>4</v>
      </c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</row>
    <row r="8" spans="1:120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</row>
    <row r="9" spans="1:120" x14ac:dyDescent="0.3">
      <c r="A9" s="58">
        <v>2363</v>
      </c>
      <c r="B9" s="55" t="s">
        <v>18</v>
      </c>
      <c r="C9" s="59">
        <v>5.79</v>
      </c>
      <c r="D9" s="59">
        <v>12.59</v>
      </c>
      <c r="E9" s="59">
        <v>7.5</v>
      </c>
      <c r="F9" s="59">
        <f>C9+D9+E9</f>
        <v>25.88</v>
      </c>
      <c r="G9" s="59">
        <v>114.72</v>
      </c>
      <c r="H9" s="59">
        <v>267.61</v>
      </c>
      <c r="I9" s="59">
        <v>143.07</v>
      </c>
      <c r="J9" s="59">
        <f>G9+H9+I9</f>
        <v>525.40000000000009</v>
      </c>
      <c r="K9" s="59">
        <v>8.67</v>
      </c>
      <c r="L9" s="59">
        <v>12.72</v>
      </c>
      <c r="M9" s="59">
        <v>7.37</v>
      </c>
      <c r="N9" s="59">
        <f>K9+L9+M9</f>
        <v>28.76</v>
      </c>
      <c r="O9" s="59">
        <v>149.66999999999999</v>
      </c>
      <c r="P9" s="59">
        <v>831.3</v>
      </c>
      <c r="Q9" s="59">
        <v>201.55</v>
      </c>
      <c r="R9" s="59">
        <f>O9+P9+Q9</f>
        <v>1182.52</v>
      </c>
      <c r="S9" s="59">
        <v>99.34</v>
      </c>
      <c r="T9" s="59">
        <v>1047.77</v>
      </c>
      <c r="U9" s="59">
        <v>190.06</v>
      </c>
      <c r="V9" s="59">
        <f>SUM(S9:U9)</f>
        <v>1337.1699999999998</v>
      </c>
      <c r="X9" s="77">
        <f>2519.98+580.13</f>
        <v>3100.11</v>
      </c>
      <c r="AG9" s="73">
        <v>3100.11</v>
      </c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</row>
    <row r="10" spans="1:120" x14ac:dyDescent="0.3">
      <c r="A10" s="58">
        <v>1100</v>
      </c>
      <c r="B10" s="55" t="s">
        <v>19</v>
      </c>
      <c r="C10" s="60">
        <f>Y10/X9*C9</f>
        <v>6.3444942276241809</v>
      </c>
      <c r="D10" s="60">
        <f>Y10/X9*D9</f>
        <v>13.795713700481596</v>
      </c>
      <c r="E10" s="60">
        <f>Y10/X9*E9</f>
        <v>8.2182567715339125</v>
      </c>
      <c r="F10" s="60">
        <f>SUM(C10:E10)</f>
        <v>28.35846469963969</v>
      </c>
      <c r="G10" s="60">
        <f>Y10/X9*G9</f>
        <v>125.70645557738273</v>
      </c>
      <c r="H10" s="60">
        <f>Y10/X9*H9</f>
        <v>293.23835928402542</v>
      </c>
      <c r="I10" s="60">
        <f>Y10/X9*I9</f>
        <v>156.77146617378091</v>
      </c>
      <c r="J10" s="60">
        <f>SUM(G10:I10)</f>
        <v>575.71628103518901</v>
      </c>
      <c r="K10" s="60">
        <f>U10/T9*K9</f>
        <v>1.7233056258428683</v>
      </c>
      <c r="L10" s="60">
        <f>U10/T9*L9</f>
        <v>2.5283099839355581</v>
      </c>
      <c r="M10" s="60">
        <f>U10/T9*M9</f>
        <v>1.4649091652205237</v>
      </c>
      <c r="N10" s="60">
        <f>SUM(K10:M10)</f>
        <v>5.7165247749989501</v>
      </c>
      <c r="O10" s="60">
        <f>Y10/X9*O9</f>
        <v>164.00353213273075</v>
      </c>
      <c r="P10" s="60">
        <f>Y10/X9*P9</f>
        <v>910.91158055681888</v>
      </c>
      <c r="Q10" s="60">
        <f>Y10/X9*Q9</f>
        <v>220.85195364035471</v>
      </c>
      <c r="R10" s="60">
        <f>SUM(O10:Q10)</f>
        <v>1295.7670663299043</v>
      </c>
      <c r="S10" s="60">
        <f>Y10/X9*S9</f>
        <v>108.85355035789053</v>
      </c>
      <c r="T10" s="60">
        <f>Y10/X9*T9</f>
        <v>1148.1123863346784</v>
      </c>
      <c r="U10" s="60">
        <f>Y10/X9*U9</f>
        <v>208.26158426636474</v>
      </c>
      <c r="V10" s="60">
        <f>SUM(S10:U10)</f>
        <v>1465.2275209589336</v>
      </c>
      <c r="Y10" s="73">
        <v>3397</v>
      </c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</row>
    <row r="11" spans="1:120" ht="46.8" x14ac:dyDescent="0.3">
      <c r="A11" s="58">
        <v>1200</v>
      </c>
      <c r="B11" s="55" t="s">
        <v>20</v>
      </c>
      <c r="C11" s="60">
        <f>Q11/P9*C9</f>
        <v>0.3628690848684813</v>
      </c>
      <c r="D11" s="60">
        <f>Q11/P9*D9</f>
        <v>0.78903657659657678</v>
      </c>
      <c r="E11" s="60">
        <f>Q11/P9*E9</f>
        <v>0.47003767470010532</v>
      </c>
      <c r="F11" s="60">
        <f>SUM(C11:E11)</f>
        <v>1.6219433361651634</v>
      </c>
      <c r="G11" s="60">
        <f>R11/Q9*G9</f>
        <v>173.9847623550761</v>
      </c>
      <c r="H11" s="60">
        <f>R11/Q9*H9</f>
        <v>405.85828324478655</v>
      </c>
      <c r="I11" s="60">
        <f>R11/Q9*I9</f>
        <v>216.98047376343041</v>
      </c>
      <c r="J11" s="60">
        <f>SUM(G11:I11)</f>
        <v>796.82351936329303</v>
      </c>
      <c r="K11" s="60">
        <f>U11/T9*K9</f>
        <v>0.40652779713633269</v>
      </c>
      <c r="L11" s="60">
        <f>U11/T9*L9</f>
        <v>0.59642832521039812</v>
      </c>
      <c r="M11" s="60">
        <f>U11/T9*M9</f>
        <v>0.3455720720755216</v>
      </c>
      <c r="N11" s="60">
        <f>SUM(K11:M11)</f>
        <v>1.3485281944222522</v>
      </c>
      <c r="O11" s="60">
        <f>Y11/X9*O9</f>
        <v>38.688433230111187</v>
      </c>
      <c r="P11" s="60">
        <f>Y11/X9*P9</f>
        <v>214.88404185335358</v>
      </c>
      <c r="Q11" s="60">
        <f>Y11/X9*Q9</f>
        <v>52.098975863759676</v>
      </c>
      <c r="R11" s="60">
        <f>SUM(O11:Q11)</f>
        <v>305.67145094722446</v>
      </c>
      <c r="S11" s="60">
        <f>Y11/X9*S9</f>
        <v>25.678552529426376</v>
      </c>
      <c r="T11" s="60">
        <f>Y11/X9*T9</f>
        <v>270.83971193635062</v>
      </c>
      <c r="U11" s="60">
        <f>Y11/X9*U9</f>
        <v>49.128907728435443</v>
      </c>
      <c r="V11" s="60">
        <f>SUM(S11:U11)</f>
        <v>345.64717219421243</v>
      </c>
      <c r="Y11" s="73">
        <f>Y10*0.2359</f>
        <v>801.35230000000001</v>
      </c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</row>
    <row r="12" spans="1:120" x14ac:dyDescent="0.3">
      <c r="A12" s="58">
        <v>2222</v>
      </c>
      <c r="B12" s="55" t="s">
        <v>21</v>
      </c>
      <c r="C12" s="60">
        <f>Y12/X9*C9</f>
        <v>0.74077619826393248</v>
      </c>
      <c r="D12" s="60">
        <f>Y12/X9*D9</f>
        <v>1.6107724242043022</v>
      </c>
      <c r="E12" s="60">
        <f>Y12/X9*E9</f>
        <v>0.95955466096364317</v>
      </c>
      <c r="F12" s="60">
        <f t="shared" ref="F12:F13" si="0">SUM(C12:E12)</f>
        <v>3.3111032834318777</v>
      </c>
      <c r="G12" s="60">
        <f>Y12/X9*G9</f>
        <v>14.677348094099886</v>
      </c>
      <c r="H12" s="60">
        <f>Y12/X9*H9</f>
        <v>34.23818970939741</v>
      </c>
      <c r="I12" s="60">
        <f>Y12/X9*I9</f>
        <v>18.304464712542455</v>
      </c>
      <c r="J12" s="60">
        <f t="shared" ref="J12:J13" si="1">SUM(G12:I12)</f>
        <v>67.220002516039756</v>
      </c>
      <c r="K12" s="60">
        <f>U12/T9*K9</f>
        <v>0.20121127770917188</v>
      </c>
      <c r="L12" s="60">
        <f>U12/T9*L9</f>
        <v>0.2952027050127643</v>
      </c>
      <c r="M12" s="60">
        <f>U12/T9*M9</f>
        <v>0.17104118993271014</v>
      </c>
      <c r="N12" s="60">
        <f t="shared" ref="N12:N13" si="2">SUM(K12:M12)</f>
        <v>0.66745517265464627</v>
      </c>
      <c r="O12" s="60">
        <f>Y12/X9*O9</f>
        <v>19.148872814190462</v>
      </c>
      <c r="P12" s="60">
        <f>Y12/X9*P9</f>
        <v>106.35703862121021</v>
      </c>
      <c r="Q12" s="60">
        <f>Y12/X9*Q9</f>
        <v>25.786432255629638</v>
      </c>
      <c r="R12" s="60">
        <f t="shared" ref="R12:R13" si="3">SUM(O12:Q12)</f>
        <v>151.29234369103031</v>
      </c>
      <c r="S12" s="60">
        <f>Y12/X9*S9</f>
        <v>12.709621336017108</v>
      </c>
      <c r="T12" s="60">
        <f>Y12/X9*T9</f>
        <v>134.05234494905019</v>
      </c>
      <c r="U12" s="60">
        <f>Y12/X9*U9</f>
        <v>24.316394515033338</v>
      </c>
      <c r="V12" s="60">
        <f t="shared" ref="V12:V13" si="4">SUM(S12:U12)</f>
        <v>171.07836080010065</v>
      </c>
      <c r="Y12" s="73">
        <f>3051*0.13</f>
        <v>396.63</v>
      </c>
      <c r="Z12" s="68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</row>
    <row r="13" spans="1:120" x14ac:dyDescent="0.3">
      <c r="A13" s="58">
        <v>2223</v>
      </c>
      <c r="B13" s="55" t="s">
        <v>22</v>
      </c>
      <c r="C13" s="60">
        <f>Q13/P9*C9</f>
        <v>0.29951386861360269</v>
      </c>
      <c r="D13" s="60">
        <f>Q13/P9*D9</f>
        <v>0.65127454332387869</v>
      </c>
      <c r="E13" s="60">
        <f>Q13/P9*E9</f>
        <v>0.3879713324010397</v>
      </c>
      <c r="F13" s="60">
        <f t="shared" si="0"/>
        <v>1.3387597443385211</v>
      </c>
      <c r="G13" s="60">
        <f>Y13/X9*G9</f>
        <v>24.476678827525475</v>
      </c>
      <c r="H13" s="60">
        <f>Y13/X9*H9</f>
        <v>57.097315385583094</v>
      </c>
      <c r="I13" s="60">
        <f>Y13/X9*I9</f>
        <v>30.52543967794691</v>
      </c>
      <c r="J13" s="60">
        <f t="shared" si="1"/>
        <v>112.09943389105547</v>
      </c>
      <c r="K13" s="60">
        <f>U13/T9*K9</f>
        <v>0.33554997737930731</v>
      </c>
      <c r="L13" s="60">
        <f>U13/T9*L9</f>
        <v>0.49229477650112913</v>
      </c>
      <c r="M13" s="60">
        <f>U13/T9*M9</f>
        <v>0.28523683198217936</v>
      </c>
      <c r="N13" s="60">
        <f t="shared" si="2"/>
        <v>1.1130815858626157</v>
      </c>
      <c r="O13" s="60">
        <f>Y13/X9*O9</f>
        <v>31.933616807145551</v>
      </c>
      <c r="P13" s="60">
        <f>Y13/X9*P9</f>
        <v>177.3663102277016</v>
      </c>
      <c r="Q13" s="60">
        <f>Y13/X9*Q9</f>
        <v>43.002742483331239</v>
      </c>
      <c r="R13" s="60">
        <f t="shared" si="3"/>
        <v>252.30266951817839</v>
      </c>
      <c r="S13" s="60">
        <f>Y13/X9*S9</f>
        <v>21.195199396150461</v>
      </c>
      <c r="T13" s="60">
        <f>Y13/X9*T9</f>
        <v>223.55238646370611</v>
      </c>
      <c r="U13" s="60">
        <f>Y13/X9*U9</f>
        <v>40.551234117499057</v>
      </c>
      <c r="V13" s="60">
        <f t="shared" si="4"/>
        <v>285.29881997735561</v>
      </c>
      <c r="Y13" s="73">
        <f>5088*0.13</f>
        <v>661.44</v>
      </c>
      <c r="Z13" s="68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</row>
    <row r="14" spans="1:120" x14ac:dyDescent="0.3">
      <c r="A14" s="56"/>
      <c r="B14" s="61" t="s">
        <v>23</v>
      </c>
      <c r="C14" s="60">
        <f>SUM(C9:C13)</f>
        <v>13.537653379370198</v>
      </c>
      <c r="D14" s="60">
        <f t="shared" ref="D14:F14" si="5">SUM(D9:D13)</f>
        <v>29.436797244606353</v>
      </c>
      <c r="E14" s="60">
        <f t="shared" si="5"/>
        <v>17.535820439598702</v>
      </c>
      <c r="F14" s="60">
        <f t="shared" si="5"/>
        <v>60.51027106357526</v>
      </c>
      <c r="G14" s="60">
        <f>SUM(G9:G13)</f>
        <v>453.5652448540842</v>
      </c>
      <c r="H14" s="60">
        <f t="shared" ref="H14:J14" si="6">SUM(H9:H13)</f>
        <v>1058.0421476237925</v>
      </c>
      <c r="I14" s="60">
        <f t="shared" si="6"/>
        <v>565.65184432770059</v>
      </c>
      <c r="J14" s="60">
        <f t="shared" si="6"/>
        <v>2077.2592368055775</v>
      </c>
      <c r="K14" s="60">
        <f>SUM(K9:K13)</f>
        <v>11.33659467806768</v>
      </c>
      <c r="L14" s="60">
        <f t="shared" ref="L14:N14" si="7">SUM(L9:L13)</f>
        <v>16.632235790659852</v>
      </c>
      <c r="M14" s="60">
        <f t="shared" si="7"/>
        <v>9.6367592592109332</v>
      </c>
      <c r="N14" s="60">
        <f t="shared" si="7"/>
        <v>37.605589727938465</v>
      </c>
      <c r="O14" s="60">
        <f>SUM(O9:O13)</f>
        <v>403.44445498417792</v>
      </c>
      <c r="P14" s="60">
        <f t="shared" ref="P14:V14" si="8">SUM(P9:P13)</f>
        <v>2240.8189712590838</v>
      </c>
      <c r="Q14" s="60">
        <f t="shared" si="8"/>
        <v>543.29010424307523</v>
      </c>
      <c r="R14" s="60">
        <f t="shared" si="8"/>
        <v>3187.5535304863379</v>
      </c>
      <c r="S14" s="60">
        <f t="shared" si="8"/>
        <v>267.77692361948448</v>
      </c>
      <c r="T14" s="60">
        <f t="shared" si="8"/>
        <v>2824.3268296837855</v>
      </c>
      <c r="U14" s="60">
        <f t="shared" si="8"/>
        <v>512.31812062733252</v>
      </c>
      <c r="V14" s="60">
        <f t="shared" si="8"/>
        <v>3604.4218739306025</v>
      </c>
      <c r="Y14" s="73">
        <f>SUM(Y10:Y13)</f>
        <v>5256.4223000000002</v>
      </c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</row>
    <row r="15" spans="1:120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</row>
    <row r="16" spans="1:120" x14ac:dyDescent="0.3">
      <c r="A16" s="58">
        <v>1100</v>
      </c>
      <c r="B16" s="55" t="s">
        <v>25</v>
      </c>
      <c r="C16" s="60">
        <f t="shared" ref="C16:N34" si="9">$AH16/$AG$9*C$9</f>
        <v>1.0802636035495514</v>
      </c>
      <c r="D16" s="60">
        <f t="shared" si="9"/>
        <v>2.348966972139698</v>
      </c>
      <c r="E16" s="60">
        <f t="shared" si="9"/>
        <v>1.3993051859450147</v>
      </c>
      <c r="F16" s="60">
        <f t="shared" si="9"/>
        <v>4.8285357616342637</v>
      </c>
      <c r="G16" s="60">
        <f t="shared" si="9"/>
        <v>21.403772124214946</v>
      </c>
      <c r="H16" s="60">
        <f t="shared" si="9"/>
        <v>49.929074774766057</v>
      </c>
      <c r="I16" s="60">
        <f t="shared" si="9"/>
        <v>26.693145727087099</v>
      </c>
      <c r="J16" s="60">
        <f t="shared" si="9"/>
        <v>98.025992626068117</v>
      </c>
      <c r="K16" s="60">
        <f t="shared" si="9"/>
        <v>1.617596794952437</v>
      </c>
      <c r="L16" s="60">
        <f t="shared" si="9"/>
        <v>2.3732215953627449</v>
      </c>
      <c r="M16" s="60">
        <f t="shared" si="9"/>
        <v>1.3750505627219678</v>
      </c>
      <c r="N16" s="60">
        <f t="shared" si="9"/>
        <v>5.3658689530371504</v>
      </c>
      <c r="O16" s="60">
        <f t="shared" ref="O16:V34" si="10">$AH16/$AG$9*O$9</f>
        <v>27.924534290718711</v>
      </c>
      <c r="P16" s="60">
        <f t="shared" si="10"/>
        <v>155.09898681014542</v>
      </c>
      <c r="Q16" s="60">
        <f t="shared" si="10"/>
        <v>37.603994696962367</v>
      </c>
      <c r="R16" s="60">
        <f t="shared" si="10"/>
        <v>220.6275157978265</v>
      </c>
      <c r="S16" s="60">
        <f t="shared" si="10"/>
        <v>18.534263622903701</v>
      </c>
      <c r="T16" s="60">
        <f t="shared" si="10"/>
        <v>195.4866659570144</v>
      </c>
      <c r="U16" s="60">
        <f t="shared" si="10"/>
        <v>35.460259152094601</v>
      </c>
      <c r="V16" s="60">
        <f t="shared" si="10"/>
        <v>249.4811887320127</v>
      </c>
      <c r="AH16" s="68">
        <v>578.4</v>
      </c>
      <c r="AI16" s="109">
        <v>1100</v>
      </c>
      <c r="AJ16" s="69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</row>
    <row r="17" spans="1:120" ht="46.8" x14ac:dyDescent="0.3">
      <c r="A17" s="58">
        <v>1200</v>
      </c>
      <c r="B17" s="55" t="s">
        <v>26</v>
      </c>
      <c r="C17" s="60">
        <f t="shared" si="9"/>
        <v>0.25483418407733915</v>
      </c>
      <c r="D17" s="60">
        <f t="shared" si="9"/>
        <v>0.55412130872775478</v>
      </c>
      <c r="E17" s="60">
        <f t="shared" si="9"/>
        <v>0.33009609336442897</v>
      </c>
      <c r="F17" s="60">
        <f t="shared" si="9"/>
        <v>1.139051586169523</v>
      </c>
      <c r="G17" s="60">
        <f t="shared" si="9"/>
        <v>5.0491498441023053</v>
      </c>
      <c r="H17" s="60">
        <f t="shared" si="9"/>
        <v>11.778268739367313</v>
      </c>
      <c r="I17" s="60">
        <f t="shared" si="9"/>
        <v>6.2969130770198474</v>
      </c>
      <c r="J17" s="60">
        <f t="shared" si="9"/>
        <v>23.124331660489467</v>
      </c>
      <c r="K17" s="60">
        <f t="shared" si="9"/>
        <v>0.38159108392927993</v>
      </c>
      <c r="L17" s="60">
        <f t="shared" si="9"/>
        <v>0.55984297434607155</v>
      </c>
      <c r="M17" s="60">
        <f t="shared" si="9"/>
        <v>0.32437442774611219</v>
      </c>
      <c r="N17" s="60">
        <f t="shared" si="9"/>
        <v>1.2658084860214638</v>
      </c>
      <c r="O17" s="60">
        <f t="shared" si="10"/>
        <v>6.5873976391805442</v>
      </c>
      <c r="P17" s="60">
        <f t="shared" si="10"/>
        <v>36.58785098851331</v>
      </c>
      <c r="Q17" s="60">
        <f t="shared" si="10"/>
        <v>8.8707823490134228</v>
      </c>
      <c r="R17" s="60">
        <f t="shared" si="10"/>
        <v>52.046030976707272</v>
      </c>
      <c r="S17" s="60">
        <f t="shared" si="10"/>
        <v>4.3722327886429833</v>
      </c>
      <c r="T17" s="60">
        <f t="shared" si="10"/>
        <v>46.1153044992597</v>
      </c>
      <c r="U17" s="60">
        <f t="shared" si="10"/>
        <v>8.3650751339791167</v>
      </c>
      <c r="V17" s="60">
        <f t="shared" si="10"/>
        <v>58.852612421881794</v>
      </c>
      <c r="AH17" s="68">
        <f>AH16*0.2359</f>
        <v>136.44456</v>
      </c>
      <c r="AI17" s="109">
        <v>1200</v>
      </c>
      <c r="AJ17" s="69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</row>
    <row r="18" spans="1:120" x14ac:dyDescent="0.3">
      <c r="A18" s="58">
        <v>2210</v>
      </c>
      <c r="B18" s="55" t="s">
        <v>27</v>
      </c>
      <c r="C18" s="60">
        <f t="shared" si="9"/>
        <v>2.3215208492601874E-2</v>
      </c>
      <c r="D18" s="60">
        <f t="shared" si="9"/>
        <v>5.0480047482186111E-2</v>
      </c>
      <c r="E18" s="60">
        <f t="shared" si="9"/>
        <v>3.0071513591453203E-2</v>
      </c>
      <c r="F18" s="60">
        <f t="shared" si="9"/>
        <v>0.10376676956624117</v>
      </c>
      <c r="G18" s="60">
        <f t="shared" si="9"/>
        <v>0.45997387189486816</v>
      </c>
      <c r="H18" s="60">
        <f t="shared" si="9"/>
        <v>1.0729917002945055</v>
      </c>
      <c r="I18" s="60">
        <f t="shared" si="9"/>
        <v>0.57364419327056126</v>
      </c>
      <c r="J18" s="60">
        <f t="shared" si="9"/>
        <v>2.1066097654599352</v>
      </c>
      <c r="K18" s="60">
        <f t="shared" si="9"/>
        <v>3.4762669711719901E-2</v>
      </c>
      <c r="L18" s="60">
        <f t="shared" si="9"/>
        <v>5.1001287051104634E-2</v>
      </c>
      <c r="M18" s="60">
        <f t="shared" si="9"/>
        <v>2.955027402253468E-2</v>
      </c>
      <c r="N18" s="60">
        <f t="shared" si="9"/>
        <v>0.11531423078535923</v>
      </c>
      <c r="O18" s="60">
        <f t="shared" si="10"/>
        <v>0.60010712523104004</v>
      </c>
      <c r="P18" s="60">
        <f t="shared" si="10"/>
        <v>3.3331265664766727</v>
      </c>
      <c r="Q18" s="60">
        <f t="shared" si="10"/>
        <v>0.80812180858098581</v>
      </c>
      <c r="R18" s="60">
        <f t="shared" si="10"/>
        <v>4.7413555002886989</v>
      </c>
      <c r="S18" s="60">
        <f t="shared" si="10"/>
        <v>0.39830722135666152</v>
      </c>
      <c r="T18" s="60">
        <f t="shared" si="10"/>
        <v>4.2010706394289228</v>
      </c>
      <c r="U18" s="60">
        <f t="shared" si="10"/>
        <v>0.76205224975887942</v>
      </c>
      <c r="V18" s="60">
        <f t="shared" si="10"/>
        <v>5.3614301105444628</v>
      </c>
      <c r="AH18" s="51">
        <v>12.43</v>
      </c>
      <c r="AI18" s="109">
        <v>2210</v>
      </c>
      <c r="AJ18" s="31" t="s">
        <v>108</v>
      </c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</row>
    <row r="19" spans="1:120" x14ac:dyDescent="0.3">
      <c r="A19" s="58">
        <v>2221</v>
      </c>
      <c r="B19" s="55" t="s">
        <v>28</v>
      </c>
      <c r="C19" s="60">
        <f t="shared" si="9"/>
        <v>0.44396518188064293</v>
      </c>
      <c r="D19" s="60">
        <f t="shared" si="9"/>
        <v>0.96537506733632028</v>
      </c>
      <c r="E19" s="60">
        <f t="shared" si="9"/>
        <v>0.57508443248787944</v>
      </c>
      <c r="F19" s="60">
        <f t="shared" si="9"/>
        <v>1.9844246817048425</v>
      </c>
      <c r="G19" s="60">
        <f t="shared" si="9"/>
        <v>8.7964914793346036</v>
      </c>
      <c r="H19" s="60">
        <f t="shared" si="9"/>
        <v>20.519779330410856</v>
      </c>
      <c r="I19" s="60">
        <f t="shared" si="9"/>
        <v>10.970310634138787</v>
      </c>
      <c r="J19" s="60">
        <f t="shared" si="9"/>
        <v>40.286581443884252</v>
      </c>
      <c r="K19" s="60">
        <f t="shared" si="9"/>
        <v>0.66479760395598864</v>
      </c>
      <c r="L19" s="60">
        <f t="shared" si="9"/>
        <v>0.97534319749944354</v>
      </c>
      <c r="M19" s="60">
        <f t="shared" si="9"/>
        <v>0.56511630232475618</v>
      </c>
      <c r="N19" s="60">
        <f t="shared" si="9"/>
        <v>2.2052571037801885</v>
      </c>
      <c r="O19" s="60">
        <f t="shared" si="10"/>
        <v>11.476384934728122</v>
      </c>
      <c r="P19" s="60">
        <f t="shared" si="10"/>
        <v>63.742358496956555</v>
      </c>
      <c r="Q19" s="60">
        <f t="shared" si="10"/>
        <v>15.454435649057615</v>
      </c>
      <c r="R19" s="60">
        <f t="shared" si="10"/>
        <v>90.673179080742287</v>
      </c>
      <c r="S19" s="60">
        <f t="shared" si="10"/>
        <v>7.6171850031127928</v>
      </c>
      <c r="T19" s="60">
        <f t="shared" si="10"/>
        <v>80.340828777043384</v>
      </c>
      <c r="U19" s="60">
        <f t="shared" si="10"/>
        <v>14.573406298486182</v>
      </c>
      <c r="V19" s="60">
        <f t="shared" si="10"/>
        <v>102.53142007864236</v>
      </c>
      <c r="AH19" s="51">
        <v>237.71</v>
      </c>
      <c r="AI19" s="109">
        <v>2221</v>
      </c>
      <c r="AJ19" s="31" t="s">
        <v>89</v>
      </c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</row>
    <row r="20" spans="1:120" x14ac:dyDescent="0.3">
      <c r="A20" s="58">
        <v>2224</v>
      </c>
      <c r="B20" s="55" t="s">
        <v>29</v>
      </c>
      <c r="C20" s="60">
        <f t="shared" si="9"/>
        <v>4.1088864588675882E-2</v>
      </c>
      <c r="D20" s="60">
        <f t="shared" si="9"/>
        <v>8.9345216782630285E-2</v>
      </c>
      <c r="E20" s="60">
        <f t="shared" si="9"/>
        <v>5.3223917860979124E-2</v>
      </c>
      <c r="F20" s="60">
        <f t="shared" si="9"/>
        <v>0.18365799923228529</v>
      </c>
      <c r="G20" s="60">
        <f t="shared" si="9"/>
        <v>0.81411304760153669</v>
      </c>
      <c r="H20" s="60">
        <f t="shared" si="9"/>
        <v>1.8991003545035499</v>
      </c>
      <c r="I20" s="60">
        <f t="shared" si="9"/>
        <v>1.0152994571160376</v>
      </c>
      <c r="J20" s="60">
        <f t="shared" si="9"/>
        <v>3.7285128592211247</v>
      </c>
      <c r="K20" s="60">
        <f t="shared" si="9"/>
        <v>6.1526849047291866E-2</v>
      </c>
      <c r="L20" s="60">
        <f t="shared" si="9"/>
        <v>9.0267764692220601E-2</v>
      </c>
      <c r="M20" s="60">
        <f t="shared" si="9"/>
        <v>5.2301369951388822E-2</v>
      </c>
      <c r="N20" s="60">
        <f t="shared" si="9"/>
        <v>0.20409598369090129</v>
      </c>
      <c r="O20" s="60">
        <f t="shared" si="10"/>
        <v>1.0621365048336993</v>
      </c>
      <c r="P20" s="60">
        <f t="shared" si="10"/>
        <v>5.899339055710926</v>
      </c>
      <c r="Q20" s="60">
        <f t="shared" si="10"/>
        <v>1.4303040859840457</v>
      </c>
      <c r="R20" s="60">
        <f t="shared" si="10"/>
        <v>8.3917796465286703</v>
      </c>
      <c r="S20" s="60">
        <f t="shared" si="10"/>
        <v>0.70496853337462217</v>
      </c>
      <c r="T20" s="60">
        <f t="shared" si="10"/>
        <v>7.4355232556264124</v>
      </c>
      <c r="U20" s="60">
        <f t="shared" si="10"/>
        <v>1.3487650438210257</v>
      </c>
      <c r="V20" s="60">
        <f t="shared" si="10"/>
        <v>9.4892568328220595</v>
      </c>
      <c r="AH20" s="51">
        <v>22</v>
      </c>
      <c r="AI20" s="109">
        <v>2224</v>
      </c>
      <c r="AJ20" s="31" t="s">
        <v>90</v>
      </c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</row>
    <row r="21" spans="1:120" x14ac:dyDescent="0.3">
      <c r="A21" s="58">
        <v>2234</v>
      </c>
      <c r="B21" s="55" t="s">
        <v>30</v>
      </c>
      <c r="C21" s="60">
        <f t="shared" si="9"/>
        <v>0.28015134946824466</v>
      </c>
      <c r="D21" s="60">
        <f t="shared" si="9"/>
        <v>0.60917193260884284</v>
      </c>
      <c r="E21" s="60">
        <f t="shared" si="9"/>
        <v>0.36289034905213041</v>
      </c>
      <c r="F21" s="60">
        <f t="shared" si="9"/>
        <v>1.2522136311292178</v>
      </c>
      <c r="G21" s="60">
        <f t="shared" si="9"/>
        <v>5.5507707791013861</v>
      </c>
      <c r="H21" s="60">
        <f t="shared" si="9"/>
        <v>12.948411507978749</v>
      </c>
      <c r="I21" s="60">
        <f t="shared" si="9"/>
        <v>6.9224962985184391</v>
      </c>
      <c r="J21" s="60">
        <f t="shared" si="9"/>
        <v>25.421678585598578</v>
      </c>
      <c r="K21" s="60">
        <f t="shared" si="9"/>
        <v>0.41950124350426271</v>
      </c>
      <c r="L21" s="60">
        <f t="shared" si="9"/>
        <v>0.61546203199241323</v>
      </c>
      <c r="M21" s="60">
        <f t="shared" si="9"/>
        <v>0.35660024966856013</v>
      </c>
      <c r="N21" s="60">
        <f t="shared" si="9"/>
        <v>1.3915635251652361</v>
      </c>
      <c r="O21" s="60">
        <f t="shared" si="10"/>
        <v>7.2418398056843136</v>
      </c>
      <c r="P21" s="60">
        <f t="shared" si="10"/>
        <v>40.222766288938132</v>
      </c>
      <c r="Q21" s="60">
        <f t="shared" si="10"/>
        <v>9.7520733135275854</v>
      </c>
      <c r="R21" s="60">
        <f t="shared" si="10"/>
        <v>57.216679408150029</v>
      </c>
      <c r="S21" s="60">
        <f t="shared" si="10"/>
        <v>4.8066036366451517</v>
      </c>
      <c r="T21" s="60">
        <f t="shared" si="10"/>
        <v>50.696749470180087</v>
      </c>
      <c r="U21" s="60">
        <f t="shared" si="10"/>
        <v>9.1961252987797213</v>
      </c>
      <c r="V21" s="60">
        <f t="shared" si="10"/>
        <v>64.69947840560495</v>
      </c>
      <c r="AH21" s="51">
        <f>5*30</f>
        <v>150</v>
      </c>
      <c r="AI21" s="109">
        <v>2234</v>
      </c>
      <c r="AJ21" s="31" t="s">
        <v>91</v>
      </c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</row>
    <row r="22" spans="1:120" x14ac:dyDescent="0.3">
      <c r="A22" s="58">
        <v>2235</v>
      </c>
      <c r="B22" s="55" t="s">
        <v>31</v>
      </c>
      <c r="C22" s="60">
        <f t="shared" si="9"/>
        <v>0.18676756631216312</v>
      </c>
      <c r="D22" s="60">
        <f t="shared" si="9"/>
        <v>0.40611462173922863</v>
      </c>
      <c r="E22" s="60">
        <f t="shared" si="9"/>
        <v>0.24192689936808695</v>
      </c>
      <c r="F22" s="60">
        <f t="shared" si="9"/>
        <v>0.83480908741947868</v>
      </c>
      <c r="G22" s="60">
        <f t="shared" si="9"/>
        <v>3.7005138527342578</v>
      </c>
      <c r="H22" s="60">
        <f t="shared" si="9"/>
        <v>8.6322743386525005</v>
      </c>
      <c r="I22" s="60">
        <f t="shared" si="9"/>
        <v>4.614997532345626</v>
      </c>
      <c r="J22" s="60">
        <f t="shared" si="9"/>
        <v>16.947785723732387</v>
      </c>
      <c r="K22" s="60">
        <f t="shared" si="9"/>
        <v>0.27966749566950849</v>
      </c>
      <c r="L22" s="60">
        <f t="shared" si="9"/>
        <v>0.41030802132827549</v>
      </c>
      <c r="M22" s="60">
        <f t="shared" si="9"/>
        <v>0.2377334997790401</v>
      </c>
      <c r="N22" s="60">
        <f t="shared" si="9"/>
        <v>0.92770901677682416</v>
      </c>
      <c r="O22" s="60">
        <f t="shared" si="10"/>
        <v>4.827893203789543</v>
      </c>
      <c r="P22" s="60">
        <f t="shared" si="10"/>
        <v>26.815177525958756</v>
      </c>
      <c r="Q22" s="60">
        <f t="shared" si="10"/>
        <v>6.5013822090183906</v>
      </c>
      <c r="R22" s="60">
        <f t="shared" si="10"/>
        <v>38.14445293876669</v>
      </c>
      <c r="S22" s="60">
        <f t="shared" si="10"/>
        <v>3.2044024244301013</v>
      </c>
      <c r="T22" s="60">
        <f t="shared" si="10"/>
        <v>33.797832980120063</v>
      </c>
      <c r="U22" s="60">
        <f t="shared" si="10"/>
        <v>6.1307501991864806</v>
      </c>
      <c r="V22" s="60">
        <f t="shared" si="10"/>
        <v>43.132985603736635</v>
      </c>
      <c r="AH22" s="51">
        <f>5*20</f>
        <v>100</v>
      </c>
      <c r="AI22" s="109">
        <v>2235</v>
      </c>
      <c r="AJ22" s="31" t="s">
        <v>92</v>
      </c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</row>
    <row r="23" spans="1:120" x14ac:dyDescent="0.3">
      <c r="A23" s="58">
        <v>2243</v>
      </c>
      <c r="B23" s="55" t="s">
        <v>32</v>
      </c>
      <c r="C23" s="60">
        <f t="shared" si="9"/>
        <v>5.509643206208812E-2</v>
      </c>
      <c r="D23" s="60">
        <f t="shared" si="9"/>
        <v>0.11980381341307243</v>
      </c>
      <c r="E23" s="60">
        <f t="shared" si="9"/>
        <v>7.1368435313585651E-2</v>
      </c>
      <c r="F23" s="60">
        <f t="shared" si="9"/>
        <v>0.2462686807887462</v>
      </c>
      <c r="G23" s="60">
        <f t="shared" si="9"/>
        <v>1.0916515865566061</v>
      </c>
      <c r="H23" s="60">
        <f t="shared" si="9"/>
        <v>2.5465209299024876</v>
      </c>
      <c r="I23" s="60">
        <f t="shared" si="9"/>
        <v>1.3614242720419598</v>
      </c>
      <c r="J23" s="60">
        <f t="shared" si="9"/>
        <v>4.9995967885010542</v>
      </c>
      <c r="K23" s="60">
        <f t="shared" si="9"/>
        <v>8.2501911222505012E-2</v>
      </c>
      <c r="L23" s="60">
        <f t="shared" si="9"/>
        <v>0.12104086629184127</v>
      </c>
      <c r="M23" s="60">
        <f t="shared" si="9"/>
        <v>7.0131382434816827E-2</v>
      </c>
      <c r="N23" s="60">
        <f t="shared" si="9"/>
        <v>0.27367415994916311</v>
      </c>
      <c r="O23" s="60">
        <f t="shared" si="10"/>
        <v>1.4242284951179152</v>
      </c>
      <c r="P23" s="60">
        <f t="shared" si="10"/>
        <v>7.9104773701578326</v>
      </c>
      <c r="Q23" s="60">
        <f t="shared" si="10"/>
        <v>1.917907751660425</v>
      </c>
      <c r="R23" s="60">
        <f t="shared" si="10"/>
        <v>11.252613616936173</v>
      </c>
      <c r="S23" s="60">
        <f t="shared" si="10"/>
        <v>0.9452987152068798</v>
      </c>
      <c r="T23" s="60">
        <f t="shared" si="10"/>
        <v>9.9703607291354182</v>
      </c>
      <c r="U23" s="60">
        <f t="shared" si="10"/>
        <v>1.8085713087600117</v>
      </c>
      <c r="V23" s="60">
        <f t="shared" si="10"/>
        <v>12.724230753102308</v>
      </c>
      <c r="AH23" s="51">
        <v>29.5</v>
      </c>
      <c r="AI23" s="109">
        <v>2243</v>
      </c>
      <c r="AJ23" s="31" t="s">
        <v>93</v>
      </c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</row>
    <row r="24" spans="1:120" x14ac:dyDescent="0.3">
      <c r="A24" s="58">
        <v>2244</v>
      </c>
      <c r="B24" s="55" t="s">
        <v>33</v>
      </c>
      <c r="C24" s="60">
        <f t="shared" si="9"/>
        <v>5.3658321801484464E-2</v>
      </c>
      <c r="D24" s="60">
        <f t="shared" si="9"/>
        <v>0.11667673082568039</v>
      </c>
      <c r="E24" s="60">
        <f t="shared" si="9"/>
        <v>6.9505598188451381E-2</v>
      </c>
      <c r="F24" s="60">
        <f t="shared" si="9"/>
        <v>0.23984065081561623</v>
      </c>
      <c r="G24" s="60">
        <f t="shared" si="9"/>
        <v>1.0631576298905523</v>
      </c>
      <c r="H24" s="60">
        <f t="shared" si="9"/>
        <v>2.4800524174948633</v>
      </c>
      <c r="I24" s="60">
        <f t="shared" si="9"/>
        <v>1.3258887910428985</v>
      </c>
      <c r="J24" s="60">
        <f t="shared" si="9"/>
        <v>4.8690988384283154</v>
      </c>
      <c r="K24" s="60">
        <f t="shared" si="9"/>
        <v>8.0348471505849797E-2</v>
      </c>
      <c r="L24" s="60">
        <f t="shared" si="9"/>
        <v>0.11788149452761355</v>
      </c>
      <c r="M24" s="60">
        <f t="shared" si="9"/>
        <v>6.8300834486518219E-2</v>
      </c>
      <c r="N24" s="60">
        <f t="shared" si="9"/>
        <v>0.26653080051998157</v>
      </c>
      <c r="O24" s="60">
        <f t="shared" si="10"/>
        <v>1.3870537174487356</v>
      </c>
      <c r="P24" s="60">
        <f t="shared" si="10"/>
        <v>7.7040005032079506</v>
      </c>
      <c r="Q24" s="60">
        <f t="shared" si="10"/>
        <v>1.8678471086509836</v>
      </c>
      <c r="R24" s="60">
        <f t="shared" si="10"/>
        <v>10.95890132930767</v>
      </c>
      <c r="S24" s="60">
        <f t="shared" si="10"/>
        <v>0.92062481653876804</v>
      </c>
      <c r="T24" s="60">
        <f t="shared" si="10"/>
        <v>9.7101174151884937</v>
      </c>
      <c r="U24" s="60">
        <f t="shared" si="10"/>
        <v>1.7613645322262759</v>
      </c>
      <c r="V24" s="60">
        <f t="shared" si="10"/>
        <v>12.392106763953537</v>
      </c>
      <c r="AH24" s="51">
        <v>28.73</v>
      </c>
      <c r="AI24" s="109">
        <v>2244</v>
      </c>
      <c r="AJ24" s="31" t="s">
        <v>94</v>
      </c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</row>
    <row r="25" spans="1:120" x14ac:dyDescent="0.3">
      <c r="A25" s="58">
        <v>2247</v>
      </c>
      <c r="B25" s="55" t="s">
        <v>34</v>
      </c>
      <c r="C25" s="60">
        <f t="shared" si="9"/>
        <v>2.5960691717390669E-3</v>
      </c>
      <c r="D25" s="60">
        <f t="shared" si="9"/>
        <v>5.6449932421752764E-3</v>
      </c>
      <c r="E25" s="60">
        <f t="shared" si="9"/>
        <v>3.3627839012164082E-3</v>
      </c>
      <c r="F25" s="60">
        <f t="shared" si="9"/>
        <v>1.1603846315130751E-2</v>
      </c>
      <c r="G25" s="60">
        <f t="shared" si="9"/>
        <v>5.1437142553006174E-2</v>
      </c>
      <c r="H25" s="60">
        <f t="shared" si="9"/>
        <v>0.11998861330726973</v>
      </c>
      <c r="I25" s="60">
        <f t="shared" si="9"/>
        <v>6.4148465699604196E-2</v>
      </c>
      <c r="J25" s="60">
        <f t="shared" si="9"/>
        <v>0.23557422155988014</v>
      </c>
      <c r="K25" s="60">
        <f t="shared" si="9"/>
        <v>3.8873781898061677E-3</v>
      </c>
      <c r="L25" s="60">
        <f t="shared" si="9"/>
        <v>5.703281496463028E-3</v>
      </c>
      <c r="M25" s="60">
        <f t="shared" si="9"/>
        <v>3.3044956469286571E-3</v>
      </c>
      <c r="N25" s="60">
        <f t="shared" si="9"/>
        <v>1.2895155333197853E-2</v>
      </c>
      <c r="O25" s="60">
        <f t="shared" si="10"/>
        <v>6.7107715532674625E-2</v>
      </c>
      <c r="P25" s="60">
        <f t="shared" si="10"/>
        <v>0.37273096761082664</v>
      </c>
      <c r="Q25" s="60">
        <f t="shared" si="10"/>
        <v>9.0369212705355612E-2</v>
      </c>
      <c r="R25" s="60">
        <f t="shared" si="10"/>
        <v>0.53020789584885686</v>
      </c>
      <c r="S25" s="60">
        <f t="shared" si="10"/>
        <v>4.4541193699578395E-2</v>
      </c>
      <c r="T25" s="60">
        <f t="shared" si="10"/>
        <v>0.46978987842366876</v>
      </c>
      <c r="U25" s="60">
        <f t="shared" si="10"/>
        <v>8.5217427768692067E-2</v>
      </c>
      <c r="V25" s="60">
        <f t="shared" si="10"/>
        <v>0.59954849989193915</v>
      </c>
      <c r="AH25" s="51">
        <v>1.39</v>
      </c>
      <c r="AI25" s="109">
        <v>2247</v>
      </c>
      <c r="AJ25" s="110" t="s">
        <v>95</v>
      </c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</row>
    <row r="26" spans="1:120" x14ac:dyDescent="0.3">
      <c r="A26" s="58">
        <v>2251</v>
      </c>
      <c r="B26" s="55" t="s">
        <v>35</v>
      </c>
      <c r="C26" s="60">
        <f t="shared" si="9"/>
        <v>0</v>
      </c>
      <c r="D26" s="60">
        <f t="shared" si="9"/>
        <v>0</v>
      </c>
      <c r="E26" s="60">
        <f t="shared" si="9"/>
        <v>0</v>
      </c>
      <c r="F26" s="60">
        <f t="shared" si="9"/>
        <v>0</v>
      </c>
      <c r="G26" s="60">
        <f t="shared" si="9"/>
        <v>0</v>
      </c>
      <c r="H26" s="60">
        <f t="shared" si="9"/>
        <v>0</v>
      </c>
      <c r="I26" s="60">
        <f t="shared" si="9"/>
        <v>0</v>
      </c>
      <c r="J26" s="60">
        <f t="shared" si="9"/>
        <v>0</v>
      </c>
      <c r="K26" s="60">
        <f t="shared" si="9"/>
        <v>0</v>
      </c>
      <c r="L26" s="60">
        <f t="shared" si="9"/>
        <v>0</v>
      </c>
      <c r="M26" s="60">
        <f t="shared" si="9"/>
        <v>0</v>
      </c>
      <c r="N26" s="60">
        <f t="shared" si="9"/>
        <v>0</v>
      </c>
      <c r="O26" s="60">
        <f t="shared" si="10"/>
        <v>0</v>
      </c>
      <c r="P26" s="60">
        <f t="shared" si="10"/>
        <v>0</v>
      </c>
      <c r="Q26" s="60">
        <f t="shared" si="10"/>
        <v>0</v>
      </c>
      <c r="R26" s="60">
        <f t="shared" si="10"/>
        <v>0</v>
      </c>
      <c r="S26" s="60">
        <f t="shared" si="10"/>
        <v>0</v>
      </c>
      <c r="T26" s="60">
        <f t="shared" si="10"/>
        <v>0</v>
      </c>
      <c r="U26" s="60">
        <f t="shared" si="10"/>
        <v>0</v>
      </c>
      <c r="V26" s="60">
        <f t="shared" si="10"/>
        <v>0</v>
      </c>
      <c r="AH26" s="51">
        <v>0</v>
      </c>
      <c r="AI26" s="109">
        <v>2251</v>
      </c>
      <c r="AJ26" s="111" t="s">
        <v>96</v>
      </c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</row>
    <row r="27" spans="1:120" x14ac:dyDescent="0.3">
      <c r="A27" s="58">
        <v>2311</v>
      </c>
      <c r="B27" s="55" t="s">
        <v>36</v>
      </c>
      <c r="C27" s="60">
        <f t="shared" si="9"/>
        <v>2.1702391205473352E-2</v>
      </c>
      <c r="D27" s="60">
        <f t="shared" si="9"/>
        <v>4.7190519046098355E-2</v>
      </c>
      <c r="E27" s="60">
        <f t="shared" si="9"/>
        <v>2.8111905706571697E-2</v>
      </c>
      <c r="F27" s="60">
        <f t="shared" si="9"/>
        <v>9.7004815958143406E-2</v>
      </c>
      <c r="G27" s="60">
        <f t="shared" si="9"/>
        <v>0.42999970968772067</v>
      </c>
      <c r="H27" s="60">
        <f t="shared" si="9"/>
        <v>1.0030702781514202</v>
      </c>
      <c r="I27" s="60">
        <f t="shared" si="9"/>
        <v>0.53626271325856167</v>
      </c>
      <c r="J27" s="60">
        <f t="shared" si="9"/>
        <v>1.9693327010977031</v>
      </c>
      <c r="K27" s="60">
        <f t="shared" si="9"/>
        <v>3.2497362996796883E-2</v>
      </c>
      <c r="L27" s="60">
        <f t="shared" si="9"/>
        <v>4.7677792078345604E-2</v>
      </c>
      <c r="M27" s="60">
        <f t="shared" si="9"/>
        <v>2.7624632674324457E-2</v>
      </c>
      <c r="N27" s="60">
        <f t="shared" si="9"/>
        <v>0.10779978774946694</v>
      </c>
      <c r="O27" s="60">
        <f t="shared" si="10"/>
        <v>0.56100119028034479</v>
      </c>
      <c r="P27" s="60">
        <f t="shared" si="10"/>
        <v>3.1159236285164069</v>
      </c>
      <c r="Q27" s="60">
        <f t="shared" si="10"/>
        <v>0.75546061268793685</v>
      </c>
      <c r="R27" s="60">
        <f t="shared" si="10"/>
        <v>4.4323854314846889</v>
      </c>
      <c r="S27" s="60">
        <f t="shared" si="10"/>
        <v>0.3723515617187777</v>
      </c>
      <c r="T27" s="60">
        <f t="shared" si="10"/>
        <v>3.9273081922899502</v>
      </c>
      <c r="U27" s="60">
        <f t="shared" si="10"/>
        <v>0.71239317314546891</v>
      </c>
      <c r="V27" s="60">
        <f t="shared" si="10"/>
        <v>5.0120529271541967</v>
      </c>
      <c r="AH27" s="51">
        <v>11.62</v>
      </c>
      <c r="AI27" s="109">
        <v>2311</v>
      </c>
      <c r="AJ27" s="31" t="s">
        <v>97</v>
      </c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</row>
    <row r="28" spans="1:120" x14ac:dyDescent="0.3">
      <c r="A28" s="58">
        <v>2312</v>
      </c>
      <c r="B28" s="55" t="s">
        <v>37</v>
      </c>
      <c r="C28" s="60">
        <f t="shared" si="9"/>
        <v>1.9703978245933208E-2</v>
      </c>
      <c r="D28" s="60">
        <f t="shared" si="9"/>
        <v>4.2845092593488621E-2</v>
      </c>
      <c r="E28" s="60">
        <f t="shared" si="9"/>
        <v>2.5523287883333173E-2</v>
      </c>
      <c r="F28" s="60">
        <f t="shared" si="9"/>
        <v>8.8072358722754998E-2</v>
      </c>
      <c r="G28" s="60">
        <f t="shared" si="9"/>
        <v>0.39040421146346421</v>
      </c>
      <c r="H28" s="60">
        <f t="shared" si="9"/>
        <v>0.91070494272783875</v>
      </c>
      <c r="I28" s="60">
        <f t="shared" si="9"/>
        <v>0.48688223966246358</v>
      </c>
      <c r="J28" s="60">
        <f t="shared" si="9"/>
        <v>1.7879913938537668</v>
      </c>
      <c r="K28" s="60">
        <f t="shared" si="9"/>
        <v>2.9504920793133146E-2</v>
      </c>
      <c r="L28" s="60">
        <f t="shared" si="9"/>
        <v>4.3287496250133062E-2</v>
      </c>
      <c r="M28" s="60">
        <f t="shared" si="9"/>
        <v>2.5080884226688731E-2</v>
      </c>
      <c r="N28" s="60">
        <f t="shared" si="9"/>
        <v>9.7873301269954943E-2</v>
      </c>
      <c r="O28" s="60">
        <f t="shared" si="10"/>
        <v>0.50934273299979671</v>
      </c>
      <c r="P28" s="60">
        <f t="shared" si="10"/>
        <v>2.8290012289886488</v>
      </c>
      <c r="Q28" s="60">
        <f t="shared" si="10"/>
        <v>0.68589582305144015</v>
      </c>
      <c r="R28" s="60">
        <f t="shared" si="10"/>
        <v>4.0242397850398861</v>
      </c>
      <c r="S28" s="60">
        <f t="shared" si="10"/>
        <v>0.33806445577737565</v>
      </c>
      <c r="T28" s="60">
        <f t="shared" si="10"/>
        <v>3.5656713794026667</v>
      </c>
      <c r="U28" s="60">
        <f t="shared" si="10"/>
        <v>0.64679414601417373</v>
      </c>
      <c r="V28" s="60">
        <f t="shared" si="10"/>
        <v>4.5505299811942157</v>
      </c>
      <c r="AH28" s="51">
        <v>10.55</v>
      </c>
      <c r="AI28" s="109">
        <v>2312</v>
      </c>
      <c r="AJ28" s="31" t="s">
        <v>98</v>
      </c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</row>
    <row r="29" spans="1:120" x14ac:dyDescent="0.3">
      <c r="A29" s="58">
        <v>2321</v>
      </c>
      <c r="B29" s="55" t="s">
        <v>38</v>
      </c>
      <c r="C29" s="60">
        <f t="shared" si="9"/>
        <v>0</v>
      </c>
      <c r="D29" s="60">
        <f t="shared" si="9"/>
        <v>0</v>
      </c>
      <c r="E29" s="60">
        <f t="shared" si="9"/>
        <v>0</v>
      </c>
      <c r="F29" s="60">
        <f t="shared" si="9"/>
        <v>0</v>
      </c>
      <c r="G29" s="60">
        <f t="shared" si="9"/>
        <v>0</v>
      </c>
      <c r="H29" s="60">
        <f t="shared" si="9"/>
        <v>0</v>
      </c>
      <c r="I29" s="60">
        <f t="shared" si="9"/>
        <v>0</v>
      </c>
      <c r="J29" s="60">
        <f t="shared" si="9"/>
        <v>0</v>
      </c>
      <c r="K29" s="60">
        <f t="shared" si="9"/>
        <v>0</v>
      </c>
      <c r="L29" s="60">
        <f t="shared" si="9"/>
        <v>0</v>
      </c>
      <c r="M29" s="60">
        <f t="shared" si="9"/>
        <v>0</v>
      </c>
      <c r="N29" s="60">
        <f t="shared" si="9"/>
        <v>0</v>
      </c>
      <c r="O29" s="60">
        <f t="shared" si="10"/>
        <v>0</v>
      </c>
      <c r="P29" s="60">
        <f t="shared" si="10"/>
        <v>0</v>
      </c>
      <c r="Q29" s="60">
        <f t="shared" si="10"/>
        <v>0</v>
      </c>
      <c r="R29" s="60">
        <f t="shared" si="10"/>
        <v>0</v>
      </c>
      <c r="S29" s="60">
        <f t="shared" si="10"/>
        <v>0</v>
      </c>
      <c r="T29" s="60">
        <f t="shared" si="10"/>
        <v>0</v>
      </c>
      <c r="U29" s="60">
        <f t="shared" si="10"/>
        <v>0</v>
      </c>
      <c r="V29" s="60">
        <f t="shared" si="10"/>
        <v>0</v>
      </c>
      <c r="AH29" s="51">
        <v>0</v>
      </c>
      <c r="AI29" s="109">
        <v>2321</v>
      </c>
      <c r="AJ29" s="31" t="s">
        <v>99</v>
      </c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</row>
    <row r="30" spans="1:120" x14ac:dyDescent="0.3">
      <c r="A30" s="58">
        <v>2341</v>
      </c>
      <c r="B30" s="55" t="s">
        <v>39</v>
      </c>
      <c r="C30" s="60">
        <f t="shared" si="9"/>
        <v>2.0544432294337942E-4</v>
      </c>
      <c r="D30" s="60">
        <f t="shared" si="9"/>
        <v>4.4672608391315143E-4</v>
      </c>
      <c r="E30" s="60">
        <f t="shared" si="9"/>
        <v>2.6611958930489562E-4</v>
      </c>
      <c r="F30" s="60">
        <f t="shared" si="9"/>
        <v>9.1828999616142644E-4</v>
      </c>
      <c r="G30" s="60">
        <f t="shared" si="9"/>
        <v>4.070565238007683E-3</v>
      </c>
      <c r="H30" s="60">
        <f t="shared" si="9"/>
        <v>9.4955017725177494E-3</v>
      </c>
      <c r="I30" s="60">
        <f t="shared" si="9"/>
        <v>5.0764972855801881E-3</v>
      </c>
      <c r="J30" s="60">
        <f t="shared" si="9"/>
        <v>1.8642564296105623E-2</v>
      </c>
      <c r="K30" s="60">
        <f t="shared" si="9"/>
        <v>3.0763424523645933E-4</v>
      </c>
      <c r="L30" s="60">
        <f t="shared" si="9"/>
        <v>4.5133882346110298E-4</v>
      </c>
      <c r="M30" s="60">
        <f t="shared" si="9"/>
        <v>2.6150684975694406E-4</v>
      </c>
      <c r="N30" s="60">
        <f t="shared" si="9"/>
        <v>1.0204799184545064E-3</v>
      </c>
      <c r="O30" s="60">
        <f t="shared" si="10"/>
        <v>5.3106825241684965E-3</v>
      </c>
      <c r="P30" s="60">
        <f t="shared" si="10"/>
        <v>2.9496695278554627E-2</v>
      </c>
      <c r="Q30" s="60">
        <f t="shared" si="10"/>
        <v>7.1515204299202285E-3</v>
      </c>
      <c r="R30" s="60">
        <f t="shared" si="10"/>
        <v>4.195889823264335E-2</v>
      </c>
      <c r="S30" s="60">
        <f t="shared" si="10"/>
        <v>3.5248426668731108E-3</v>
      </c>
      <c r="T30" s="60">
        <f t="shared" si="10"/>
        <v>3.7177616278132063E-2</v>
      </c>
      <c r="U30" s="60">
        <f t="shared" si="10"/>
        <v>6.7438252191051283E-3</v>
      </c>
      <c r="V30" s="60">
        <f t="shared" si="10"/>
        <v>4.7446284164110293E-2</v>
      </c>
      <c r="AH30" s="51">
        <v>0.11</v>
      </c>
      <c r="AI30" s="109" t="s">
        <v>104</v>
      </c>
      <c r="AJ30" s="31" t="s">
        <v>100</v>
      </c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</row>
    <row r="31" spans="1:120" x14ac:dyDescent="0.3">
      <c r="A31" s="58">
        <v>2351</v>
      </c>
      <c r="B31" s="55" t="s">
        <v>40</v>
      </c>
      <c r="C31" s="60">
        <f t="shared" si="9"/>
        <v>4.8428829944743901E-2</v>
      </c>
      <c r="D31" s="60">
        <f t="shared" si="9"/>
        <v>0.10530552141698198</v>
      </c>
      <c r="E31" s="60">
        <f t="shared" si="9"/>
        <v>6.2731645006144948E-2</v>
      </c>
      <c r="F31" s="60">
        <f t="shared" si="9"/>
        <v>0.21646599636787081</v>
      </c>
      <c r="G31" s="60">
        <f t="shared" si="9"/>
        <v>0.9595432420139931</v>
      </c>
      <c r="H31" s="60">
        <f t="shared" si="9"/>
        <v>2.2383487360125933</v>
      </c>
      <c r="I31" s="60">
        <f t="shared" si="9"/>
        <v>1.1966688601372208</v>
      </c>
      <c r="J31" s="60">
        <f t="shared" si="9"/>
        <v>4.3945608381638079</v>
      </c>
      <c r="K31" s="60">
        <f t="shared" si="9"/>
        <v>7.2517781627103553E-2</v>
      </c>
      <c r="L31" s="60">
        <f t="shared" si="9"/>
        <v>0.10639286993042184</v>
      </c>
      <c r="M31" s="60">
        <f t="shared" si="9"/>
        <v>6.16442964927051E-2</v>
      </c>
      <c r="N31" s="60">
        <f t="shared" si="9"/>
        <v>0.2405549480502305</v>
      </c>
      <c r="O31" s="60">
        <f t="shared" si="10"/>
        <v>1.2518727077426284</v>
      </c>
      <c r="P31" s="60">
        <f t="shared" si="10"/>
        <v>6.9531755324811053</v>
      </c>
      <c r="Q31" s="60">
        <f t="shared" si="10"/>
        <v>1.6858084067984687</v>
      </c>
      <c r="R31" s="60">
        <f t="shared" si="10"/>
        <v>9.8908566470222024</v>
      </c>
      <c r="S31" s="60">
        <f t="shared" si="10"/>
        <v>0.83090154865472521</v>
      </c>
      <c r="T31" s="60">
        <f t="shared" si="10"/>
        <v>8.7637780917451327</v>
      </c>
      <c r="U31" s="60">
        <f t="shared" si="10"/>
        <v>1.5897035266490545</v>
      </c>
      <c r="V31" s="60">
        <f t="shared" si="10"/>
        <v>11.18438316704891</v>
      </c>
      <c r="AH31" s="51">
        <v>25.93</v>
      </c>
      <c r="AI31" s="109" t="s">
        <v>102</v>
      </c>
      <c r="AJ31" s="31" t="s">
        <v>97</v>
      </c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</row>
    <row r="32" spans="1:120" x14ac:dyDescent="0.3">
      <c r="A32" s="58">
        <v>2352</v>
      </c>
      <c r="B32" s="55" t="s">
        <v>41</v>
      </c>
      <c r="C32" s="60">
        <f t="shared" si="9"/>
        <v>1.1766356677666276E-2</v>
      </c>
      <c r="D32" s="60">
        <f t="shared" si="9"/>
        <v>2.55852211695714E-2</v>
      </c>
      <c r="E32" s="60">
        <f t="shared" si="9"/>
        <v>1.5241394660189478E-2</v>
      </c>
      <c r="F32" s="60">
        <f t="shared" si="9"/>
        <v>5.2592972507427151E-2</v>
      </c>
      <c r="G32" s="60">
        <f t="shared" si="9"/>
        <v>0.23313237272225823</v>
      </c>
      <c r="H32" s="60">
        <f t="shared" si="9"/>
        <v>0.5438332833351075</v>
      </c>
      <c r="I32" s="60">
        <f t="shared" si="9"/>
        <v>0.29074484453777444</v>
      </c>
      <c r="J32" s="60">
        <f t="shared" si="9"/>
        <v>1.0677105005951404</v>
      </c>
      <c r="K32" s="60">
        <f t="shared" si="9"/>
        <v>1.7619052227179036E-2</v>
      </c>
      <c r="L32" s="60">
        <f t="shared" si="9"/>
        <v>2.5849405343681353E-2</v>
      </c>
      <c r="M32" s="60">
        <f t="shared" si="9"/>
        <v>1.4977210486079527E-2</v>
      </c>
      <c r="N32" s="60">
        <f t="shared" si="9"/>
        <v>5.8445668056939917E-2</v>
      </c>
      <c r="O32" s="60">
        <f t="shared" si="10"/>
        <v>0.30415727183874119</v>
      </c>
      <c r="P32" s="60">
        <f t="shared" si="10"/>
        <v>1.6893561841354015</v>
      </c>
      <c r="Q32" s="60">
        <f t="shared" si="10"/>
        <v>0.40958707916815856</v>
      </c>
      <c r="R32" s="60">
        <f t="shared" si="10"/>
        <v>2.4031005351423014</v>
      </c>
      <c r="S32" s="60">
        <f t="shared" si="10"/>
        <v>0.20187735273909635</v>
      </c>
      <c r="T32" s="60">
        <f t="shared" si="10"/>
        <v>2.1292634777475636</v>
      </c>
      <c r="U32" s="60">
        <f t="shared" si="10"/>
        <v>0.38623726254874829</v>
      </c>
      <c r="V32" s="60">
        <f t="shared" si="10"/>
        <v>2.7173780930354079</v>
      </c>
      <c r="AH32" s="51">
        <v>6.3</v>
      </c>
      <c r="AI32" s="109" t="s">
        <v>103</v>
      </c>
      <c r="AJ32" s="31" t="s">
        <v>98</v>
      </c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</row>
    <row r="33" spans="1:120" x14ac:dyDescent="0.3">
      <c r="A33" s="58">
        <v>2362</v>
      </c>
      <c r="B33" s="55" t="s">
        <v>42</v>
      </c>
      <c r="C33" s="60">
        <f t="shared" si="9"/>
        <v>0</v>
      </c>
      <c r="D33" s="60">
        <f t="shared" si="9"/>
        <v>0</v>
      </c>
      <c r="E33" s="60">
        <f t="shared" si="9"/>
        <v>0</v>
      </c>
      <c r="F33" s="60">
        <f t="shared" si="9"/>
        <v>0</v>
      </c>
      <c r="G33" s="60">
        <f t="shared" si="9"/>
        <v>0</v>
      </c>
      <c r="H33" s="60">
        <f t="shared" si="9"/>
        <v>0</v>
      </c>
      <c r="I33" s="60">
        <f t="shared" si="9"/>
        <v>0</v>
      </c>
      <c r="J33" s="60">
        <f t="shared" si="9"/>
        <v>0</v>
      </c>
      <c r="K33" s="60">
        <f t="shared" si="9"/>
        <v>0</v>
      </c>
      <c r="L33" s="60">
        <f t="shared" si="9"/>
        <v>0</v>
      </c>
      <c r="M33" s="60">
        <f t="shared" si="9"/>
        <v>0</v>
      </c>
      <c r="N33" s="60">
        <f t="shared" si="9"/>
        <v>0</v>
      </c>
      <c r="O33" s="60">
        <f t="shared" si="10"/>
        <v>0</v>
      </c>
      <c r="P33" s="60">
        <f t="shared" si="10"/>
        <v>0</v>
      </c>
      <c r="Q33" s="60">
        <f t="shared" si="10"/>
        <v>0</v>
      </c>
      <c r="R33" s="60">
        <f t="shared" si="10"/>
        <v>0</v>
      </c>
      <c r="S33" s="60">
        <f t="shared" si="10"/>
        <v>0</v>
      </c>
      <c r="T33" s="60">
        <f t="shared" si="10"/>
        <v>0</v>
      </c>
      <c r="U33" s="60">
        <f t="shared" si="10"/>
        <v>0</v>
      </c>
      <c r="V33" s="60">
        <f t="shared" si="10"/>
        <v>0</v>
      </c>
      <c r="AH33" s="51">
        <v>0</v>
      </c>
      <c r="AI33" s="109">
        <v>2362</v>
      </c>
      <c r="AJ33" s="110" t="s">
        <v>101</v>
      </c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</row>
    <row r="34" spans="1:120" x14ac:dyDescent="0.3">
      <c r="A34" s="58" t="s">
        <v>13</v>
      </c>
      <c r="B34" s="55" t="s">
        <v>43</v>
      </c>
      <c r="C34" s="60">
        <f t="shared" si="9"/>
        <v>0</v>
      </c>
      <c r="D34" s="60">
        <f t="shared" si="9"/>
        <v>0</v>
      </c>
      <c r="E34" s="60">
        <f t="shared" si="9"/>
        <v>0</v>
      </c>
      <c r="F34" s="60">
        <f t="shared" si="9"/>
        <v>0</v>
      </c>
      <c r="G34" s="60">
        <f t="shared" si="9"/>
        <v>0</v>
      </c>
      <c r="H34" s="60">
        <f t="shared" si="9"/>
        <v>0</v>
      </c>
      <c r="I34" s="60">
        <f t="shared" si="9"/>
        <v>0</v>
      </c>
      <c r="J34" s="60">
        <f t="shared" si="9"/>
        <v>0</v>
      </c>
      <c r="K34" s="60">
        <f t="shared" si="9"/>
        <v>0</v>
      </c>
      <c r="L34" s="60">
        <f t="shared" si="9"/>
        <v>0</v>
      </c>
      <c r="M34" s="60">
        <f t="shared" si="9"/>
        <v>0</v>
      </c>
      <c r="N34" s="60">
        <f t="shared" si="9"/>
        <v>0</v>
      </c>
      <c r="O34" s="60">
        <f t="shared" si="10"/>
        <v>0</v>
      </c>
      <c r="P34" s="60">
        <f t="shared" si="10"/>
        <v>0</v>
      </c>
      <c r="Q34" s="60">
        <f t="shared" si="10"/>
        <v>0</v>
      </c>
      <c r="R34" s="60">
        <f t="shared" si="10"/>
        <v>0</v>
      </c>
      <c r="S34" s="60">
        <f t="shared" si="10"/>
        <v>0</v>
      </c>
      <c r="T34" s="60">
        <f t="shared" si="10"/>
        <v>0</v>
      </c>
      <c r="U34" s="60">
        <f t="shared" si="10"/>
        <v>0</v>
      </c>
      <c r="V34" s="60">
        <f t="shared" si="10"/>
        <v>0</v>
      </c>
      <c r="AH34" s="51">
        <v>0</v>
      </c>
      <c r="AI34" s="112">
        <v>5239</v>
      </c>
      <c r="AJ34" s="25" t="s">
        <v>43</v>
      </c>
    </row>
    <row r="35" spans="1:120" x14ac:dyDescent="0.3">
      <c r="A35" s="56"/>
      <c r="B35" s="61" t="s">
        <v>44</v>
      </c>
      <c r="C35" s="60">
        <f>SUM(C16:C34)</f>
        <v>2.5234437818012911</v>
      </c>
      <c r="D35" s="60">
        <f t="shared" ref="D35:F35" si="11">SUM(D16:D34)</f>
        <v>5.4870737846076398</v>
      </c>
      <c r="E35" s="60">
        <f t="shared" si="11"/>
        <v>3.2687095619187709</v>
      </c>
      <c r="F35" s="60">
        <f t="shared" si="11"/>
        <v>11.279227128327703</v>
      </c>
      <c r="G35" s="60">
        <f>SUM(G16:G34)</f>
        <v>49.998181459109517</v>
      </c>
      <c r="H35" s="60">
        <f t="shared" ref="H35:J35" si="12">SUM(H16:H34)</f>
        <v>116.63191544867762</v>
      </c>
      <c r="I35" s="60">
        <f t="shared" si="12"/>
        <v>62.353903603162451</v>
      </c>
      <c r="J35" s="60">
        <f t="shared" si="12"/>
        <v>228.98400051094967</v>
      </c>
      <c r="K35" s="60">
        <f>SUM(K16:K34)</f>
        <v>3.7786282535780988</v>
      </c>
      <c r="L35" s="60">
        <f t="shared" ref="L35:N35" si="13">SUM(L16:L34)</f>
        <v>5.543731417014234</v>
      </c>
      <c r="M35" s="60">
        <f t="shared" si="13"/>
        <v>3.212051929512179</v>
      </c>
      <c r="N35" s="60">
        <f t="shared" si="13"/>
        <v>12.534411600104512</v>
      </c>
      <c r="O35" s="60">
        <f>SUM(O16:O34)</f>
        <v>65.230368017650989</v>
      </c>
      <c r="P35" s="60">
        <f t="shared" ref="P35:V35" si="14">SUM(P16:P34)</f>
        <v>362.30376784307651</v>
      </c>
      <c r="Q35" s="60">
        <f t="shared" si="14"/>
        <v>87.841121627297099</v>
      </c>
      <c r="R35" s="60">
        <f t="shared" si="14"/>
        <v>515.37525748802454</v>
      </c>
      <c r="S35" s="60">
        <f t="shared" si="14"/>
        <v>43.29514771746809</v>
      </c>
      <c r="T35" s="60">
        <f t="shared" si="14"/>
        <v>456.64744235888401</v>
      </c>
      <c r="U35" s="60">
        <f t="shared" si="14"/>
        <v>82.833458578437558</v>
      </c>
      <c r="V35" s="60">
        <f t="shared" si="14"/>
        <v>582.77604865478975</v>
      </c>
    </row>
    <row r="36" spans="1:120" ht="24" customHeight="1" x14ac:dyDescent="0.3">
      <c r="A36" s="55"/>
      <c r="B36" s="55" t="s">
        <v>45</v>
      </c>
      <c r="C36" s="60">
        <f>C14+C35</f>
        <v>16.061097161171489</v>
      </c>
      <c r="D36" s="60">
        <f t="shared" ref="D36:F36" si="15">D14+D35</f>
        <v>34.923871029213991</v>
      </c>
      <c r="E36" s="60">
        <f t="shared" si="15"/>
        <v>20.804530001517474</v>
      </c>
      <c r="F36" s="60">
        <f t="shared" si="15"/>
        <v>71.789498191902965</v>
      </c>
      <c r="G36" s="60">
        <f>G14+G35</f>
        <v>503.5634263131937</v>
      </c>
      <c r="H36" s="60">
        <f t="shared" ref="H36:J36" si="16">H14+H35</f>
        <v>1174.6740630724701</v>
      </c>
      <c r="I36" s="60">
        <f t="shared" si="16"/>
        <v>628.00574793086298</v>
      </c>
      <c r="J36" s="60">
        <f t="shared" si="16"/>
        <v>2306.243237316527</v>
      </c>
      <c r="K36" s="60">
        <f>K14+K35</f>
        <v>15.115222931645778</v>
      </c>
      <c r="L36" s="60">
        <f t="shared" ref="L36:N36" si="17">L14+L35</f>
        <v>22.175967207674084</v>
      </c>
      <c r="M36" s="60">
        <f t="shared" si="17"/>
        <v>12.848811188723111</v>
      </c>
      <c r="N36" s="60">
        <f t="shared" si="17"/>
        <v>50.140001328042977</v>
      </c>
      <c r="O36" s="60">
        <f>O14+O35</f>
        <v>468.67482300182894</v>
      </c>
      <c r="P36" s="60">
        <f t="shared" ref="P36:V36" si="18">P14+P35</f>
        <v>2603.1227391021603</v>
      </c>
      <c r="Q36" s="60">
        <f t="shared" si="18"/>
        <v>631.1312258703723</v>
      </c>
      <c r="R36" s="60">
        <f t="shared" si="18"/>
        <v>3702.9287879743624</v>
      </c>
      <c r="S36" s="60">
        <f t="shared" si="18"/>
        <v>311.07207133695255</v>
      </c>
      <c r="T36" s="60">
        <f t="shared" si="18"/>
        <v>3280.9742720426693</v>
      </c>
      <c r="U36" s="60">
        <f t="shared" si="18"/>
        <v>595.15157920577008</v>
      </c>
      <c r="V36" s="60">
        <f t="shared" si="18"/>
        <v>4187.197922585392</v>
      </c>
    </row>
    <row r="37" spans="1:120" ht="43.5" customHeight="1" x14ac:dyDescent="0.3">
      <c r="A37" s="55"/>
      <c r="B37" s="55" t="s">
        <v>46</v>
      </c>
      <c r="C37" s="62">
        <v>19.329999999999998</v>
      </c>
      <c r="D37" s="62">
        <v>19.329999999999998</v>
      </c>
      <c r="E37" s="62">
        <v>19.329999999999998</v>
      </c>
      <c r="F37" s="62" t="s">
        <v>47</v>
      </c>
      <c r="G37" s="62">
        <v>267.33</v>
      </c>
      <c r="H37" s="62">
        <v>267.33</v>
      </c>
      <c r="I37" s="62">
        <v>267.33</v>
      </c>
      <c r="J37" s="62" t="s">
        <v>47</v>
      </c>
      <c r="K37" s="62">
        <v>14</v>
      </c>
      <c r="L37" s="62">
        <v>14</v>
      </c>
      <c r="M37" s="62">
        <v>14</v>
      </c>
      <c r="N37" s="62" t="s">
        <v>47</v>
      </c>
      <c r="O37" s="62">
        <v>258.33</v>
      </c>
      <c r="P37" s="62">
        <v>701</v>
      </c>
      <c r="Q37" s="62">
        <v>380.33</v>
      </c>
      <c r="R37" s="62" t="s">
        <v>47</v>
      </c>
      <c r="S37" s="62">
        <v>158.66999999999999</v>
      </c>
      <c r="T37" s="62">
        <v>854</v>
      </c>
      <c r="U37" s="62">
        <v>331</v>
      </c>
      <c r="V37" s="62" t="s">
        <v>47</v>
      </c>
    </row>
    <row r="38" spans="1:120" ht="49.5" customHeight="1" x14ac:dyDescent="0.3">
      <c r="A38" s="55"/>
      <c r="B38" s="55" t="s">
        <v>123</v>
      </c>
      <c r="C38" s="60">
        <f>C14/C37</f>
        <v>0.70034419965702011</v>
      </c>
      <c r="D38" s="60">
        <f t="shared" ref="D38:E38" si="19">D14/D37</f>
        <v>1.5228555222248503</v>
      </c>
      <c r="E38" s="60">
        <f t="shared" si="19"/>
        <v>0.90718160577334217</v>
      </c>
      <c r="F38" s="60">
        <f>SUM(C38:E38)</f>
        <v>3.1303813276552126</v>
      </c>
      <c r="G38" s="60">
        <f>G14/G37</f>
        <v>1.6966492531855168</v>
      </c>
      <c r="H38" s="60">
        <f t="shared" ref="H38:I38" si="20">H14/H37</f>
        <v>3.9578129937672264</v>
      </c>
      <c r="I38" s="60">
        <f t="shared" si="20"/>
        <v>2.1159310377724183</v>
      </c>
      <c r="J38" s="60">
        <f>SUM(G38:I38)</f>
        <v>7.7703932847251611</v>
      </c>
      <c r="K38" s="60">
        <f>K14/K37</f>
        <v>0.80975676271912</v>
      </c>
      <c r="L38" s="60">
        <f t="shared" ref="L38:M38" si="21">L14/L37</f>
        <v>1.1880168421899895</v>
      </c>
      <c r="M38" s="60">
        <f t="shared" si="21"/>
        <v>0.68833994708649526</v>
      </c>
      <c r="N38" s="60">
        <f>SUM(K38:M38)</f>
        <v>2.6861135519956045</v>
      </c>
      <c r="O38" s="60">
        <f>O14/O37</f>
        <v>1.5617406223983972</v>
      </c>
      <c r="P38" s="63">
        <f t="shared" ref="P38:Q38" si="22">P14/P37</f>
        <v>3.1966033826805762</v>
      </c>
      <c r="Q38" s="60">
        <f t="shared" si="22"/>
        <v>1.4284702869694088</v>
      </c>
      <c r="R38" s="60">
        <f>SUM(O38:Q38)</f>
        <v>6.186814292048382</v>
      </c>
      <c r="S38" s="60">
        <f>S14/S37</f>
        <v>1.6876342321767472</v>
      </c>
      <c r="T38" s="63">
        <f t="shared" ref="T38:U38" si="23">T14/T37</f>
        <v>3.3071742736344092</v>
      </c>
      <c r="U38" s="60">
        <f t="shared" si="23"/>
        <v>1.547788884070491</v>
      </c>
      <c r="V38" s="60">
        <f>SUM(S38:U38)</f>
        <v>6.5425973898816476</v>
      </c>
    </row>
    <row r="39" spans="1:120" ht="56.25" customHeight="1" x14ac:dyDescent="0.3">
      <c r="A39" s="55"/>
      <c r="B39" s="55" t="s">
        <v>125</v>
      </c>
      <c r="C39" s="59">
        <f>C9/C37</f>
        <v>0.2995344024831868</v>
      </c>
      <c r="D39" s="59">
        <f>D9/D37</f>
        <v>0.65131919296430429</v>
      </c>
      <c r="E39" s="59">
        <f>E9/E37</f>
        <v>0.38799793067770311</v>
      </c>
      <c r="F39" s="59">
        <f>SUM(C39:E39)</f>
        <v>1.3388515261251941</v>
      </c>
      <c r="G39" s="59">
        <f>G9/G37</f>
        <v>0.42913253282459884</v>
      </c>
      <c r="H39" s="59">
        <f>H9/H37</f>
        <v>1.001047394605918</v>
      </c>
      <c r="I39" s="59">
        <f>I9/I37</f>
        <v>0.53518123667377404</v>
      </c>
      <c r="J39" s="59">
        <f>SUM(G39:I39)</f>
        <v>1.9653611641042907</v>
      </c>
      <c r="K39" s="59">
        <f>K9/K37</f>
        <v>0.61928571428571433</v>
      </c>
      <c r="L39" s="59">
        <f>L9/L37</f>
        <v>0.90857142857142859</v>
      </c>
      <c r="M39" s="59">
        <f>M9/M37</f>
        <v>0.52642857142857147</v>
      </c>
      <c r="N39" s="59">
        <f>SUM(K39:M39)</f>
        <v>2.0542857142857143</v>
      </c>
      <c r="O39" s="59">
        <f>O9/O37</f>
        <v>0.5793752177447451</v>
      </c>
      <c r="P39" s="59">
        <f>P9/P37</f>
        <v>1.1858773181169757</v>
      </c>
      <c r="Q39" s="59">
        <f>Q9/Q37</f>
        <v>0.52993453053926853</v>
      </c>
      <c r="R39" s="59">
        <f>SUM(O39:Q39)</f>
        <v>2.2951870664009895</v>
      </c>
      <c r="S39" s="59">
        <f>S9/S37</f>
        <v>0.62607928404865454</v>
      </c>
      <c r="T39" s="59">
        <f>T9/T37</f>
        <v>1.226896955503513</v>
      </c>
      <c r="U39" s="59">
        <f>U9/U37</f>
        <v>0.57419939577039281</v>
      </c>
      <c r="V39" s="59">
        <f>S39+T39+U39</f>
        <v>2.42717563532256</v>
      </c>
    </row>
  </sheetData>
  <mergeCells count="7">
    <mergeCell ref="P1:V1"/>
    <mergeCell ref="A6:B6"/>
    <mergeCell ref="O6:R6"/>
    <mergeCell ref="S6:V6"/>
    <mergeCell ref="C6:F6"/>
    <mergeCell ref="G6:J6"/>
    <mergeCell ref="K6:N6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29F1-43A0-429E-9510-D0303BE0D244}">
  <sheetPr>
    <pageSetUpPr fitToPage="1"/>
  </sheetPr>
  <dimension ref="A1:AY39"/>
  <sheetViews>
    <sheetView topLeftCell="B1" zoomScale="106" zoomScaleNormal="106" workbookViewId="0">
      <selection activeCell="E1" sqref="E1:K1"/>
    </sheetView>
  </sheetViews>
  <sheetFormatPr defaultRowHeight="14.4" x14ac:dyDescent="0.3"/>
  <cols>
    <col min="1" max="1" width="10.6640625" customWidth="1"/>
    <col min="2" max="2" width="54.33203125" style="28" customWidth="1"/>
    <col min="3" max="4" width="10.109375" bestFit="1" customWidth="1"/>
    <col min="5" max="5" width="11.109375" customWidth="1"/>
    <col min="8" max="8" width="10.109375" customWidth="1"/>
    <col min="11" max="11" width="11.109375" customWidth="1"/>
    <col min="12" max="21" width="9.109375" style="48" hidden="1" customWidth="1"/>
    <col min="22" max="22" width="24.6640625" style="32" hidden="1" customWidth="1"/>
    <col min="23" max="27" width="9.109375" style="32" hidden="1" customWidth="1"/>
    <col min="28" max="36" width="9.109375" style="32" customWidth="1"/>
    <col min="37" max="47" width="9.109375" style="32"/>
  </cols>
  <sheetData>
    <row r="1" spans="1:51" s="15" customFormat="1" ht="69" customHeight="1" x14ac:dyDescent="0.25">
      <c r="A1" s="34"/>
      <c r="B1" s="34"/>
      <c r="C1" s="34"/>
      <c r="D1" s="34"/>
      <c r="E1" s="14" t="s">
        <v>146</v>
      </c>
      <c r="F1" s="7"/>
      <c r="G1" s="7"/>
      <c r="H1" s="7"/>
      <c r="I1" s="7"/>
      <c r="J1" s="7"/>
      <c r="K1" s="7"/>
      <c r="L1" s="41"/>
      <c r="M1" s="41"/>
      <c r="N1" s="41"/>
      <c r="O1" s="41"/>
      <c r="P1" s="41"/>
      <c r="Q1" s="41"/>
      <c r="R1" s="41"/>
      <c r="S1" s="43"/>
      <c r="T1" s="43"/>
      <c r="U1" s="43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</row>
    <row r="2" spans="1:51" s="15" customFormat="1" ht="13.8" x14ac:dyDescent="0.25">
      <c r="A2" s="18"/>
      <c r="B2" s="18"/>
      <c r="C2" s="19"/>
      <c r="L2" s="43"/>
      <c r="M2" s="43"/>
      <c r="N2" s="43"/>
      <c r="O2" s="43"/>
      <c r="P2" s="43"/>
      <c r="Q2" s="43"/>
      <c r="R2" s="43"/>
      <c r="S2" s="43"/>
      <c r="T2" s="43"/>
      <c r="U2" s="43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1:51" s="15" customFormat="1" ht="13.8" x14ac:dyDescent="0.25">
      <c r="A3" s="35" t="s">
        <v>14</v>
      </c>
      <c r="B3" s="18"/>
      <c r="C3" s="19"/>
      <c r="L3" s="43"/>
      <c r="M3" s="43"/>
      <c r="N3" s="43"/>
      <c r="O3" s="43"/>
      <c r="P3" s="43"/>
      <c r="Q3" s="43"/>
      <c r="R3" s="43"/>
      <c r="S3" s="43"/>
      <c r="T3" s="43"/>
      <c r="U3" s="43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</row>
    <row r="4" spans="1:51" s="15" customFormat="1" ht="13.8" x14ac:dyDescent="0.25">
      <c r="A4" s="20" t="s">
        <v>109</v>
      </c>
      <c r="B4" s="34"/>
      <c r="C4" s="20"/>
      <c r="L4" s="43"/>
      <c r="M4" s="43"/>
      <c r="N4" s="43"/>
      <c r="O4" s="43"/>
      <c r="P4" s="43"/>
      <c r="Q4" s="43"/>
      <c r="R4" s="43"/>
      <c r="S4" s="43"/>
      <c r="T4" s="43"/>
      <c r="U4" s="43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</row>
    <row r="6" spans="1:51" ht="28.8" x14ac:dyDescent="0.3">
      <c r="A6" s="9" t="s">
        <v>11</v>
      </c>
      <c r="B6" s="8"/>
      <c r="C6" s="11" t="s">
        <v>117</v>
      </c>
      <c r="D6" s="11"/>
      <c r="E6" s="11"/>
      <c r="F6" s="11"/>
      <c r="G6" s="6" t="s">
        <v>118</v>
      </c>
      <c r="H6" s="5"/>
      <c r="I6" s="5"/>
      <c r="J6" s="4"/>
      <c r="K6" s="58" t="s">
        <v>116</v>
      </c>
      <c r="L6" s="44"/>
      <c r="M6" s="44"/>
      <c r="N6" s="3" t="s">
        <v>69</v>
      </c>
      <c r="O6" s="3"/>
      <c r="P6" s="3"/>
      <c r="Q6" s="3"/>
      <c r="R6" s="52" t="s">
        <v>12</v>
      </c>
      <c r="T6" s="49" t="s">
        <v>79</v>
      </c>
      <c r="U6" s="49" t="s">
        <v>81</v>
      </c>
      <c r="AV6" s="32"/>
      <c r="AW6" s="32"/>
      <c r="AX6" s="32"/>
      <c r="AY6" s="32"/>
    </row>
    <row r="7" spans="1:51" ht="31.2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2</v>
      </c>
      <c r="L7" s="45"/>
      <c r="M7" s="45" t="s">
        <v>4</v>
      </c>
      <c r="N7" s="45" t="s">
        <v>1</v>
      </c>
      <c r="O7" s="45" t="s">
        <v>2</v>
      </c>
      <c r="P7" s="45" t="s">
        <v>3</v>
      </c>
      <c r="Q7" s="45" t="s">
        <v>4</v>
      </c>
      <c r="R7" s="45" t="s">
        <v>2</v>
      </c>
      <c r="AV7" s="32"/>
      <c r="AW7" s="32"/>
      <c r="AX7" s="32"/>
      <c r="AY7" s="32"/>
    </row>
    <row r="8" spans="1:51" ht="15.6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42"/>
      <c r="M8" s="42"/>
      <c r="N8" s="42"/>
      <c r="O8" s="42"/>
      <c r="P8" s="42"/>
      <c r="Q8" s="42"/>
      <c r="R8" s="42"/>
      <c r="AV8" s="32"/>
      <c r="AW8" s="32"/>
      <c r="AX8" s="32"/>
      <c r="AY8" s="32"/>
    </row>
    <row r="9" spans="1:51" ht="15.6" x14ac:dyDescent="0.3">
      <c r="A9" s="58">
        <v>2363</v>
      </c>
      <c r="B9" s="55" t="s">
        <v>18</v>
      </c>
      <c r="C9" s="59">
        <v>49.19</v>
      </c>
      <c r="D9" s="59">
        <v>94.56</v>
      </c>
      <c r="E9" s="59">
        <v>25.19</v>
      </c>
      <c r="F9" s="59">
        <f>C9+D9+E9</f>
        <v>168.94</v>
      </c>
      <c r="G9" s="59">
        <v>370.76</v>
      </c>
      <c r="H9" s="59">
        <v>664.47</v>
      </c>
      <c r="I9" s="59">
        <v>239.6</v>
      </c>
      <c r="J9" s="59">
        <v>1274.83</v>
      </c>
      <c r="K9" s="59">
        <v>828.91</v>
      </c>
      <c r="L9" s="40"/>
      <c r="M9" s="40">
        <f>SUM(K9:L9)</f>
        <v>828.91</v>
      </c>
      <c r="N9" s="40">
        <v>370.76</v>
      </c>
      <c r="O9" s="40">
        <v>664.47</v>
      </c>
      <c r="P9" s="40">
        <v>239.6</v>
      </c>
      <c r="Q9" s="40">
        <f>SUM(N9:P9)</f>
        <v>1274.83</v>
      </c>
      <c r="R9" s="53">
        <v>299.44</v>
      </c>
      <c r="T9" s="50">
        <f>F9+M9+Q9+R9</f>
        <v>2572.12</v>
      </c>
      <c r="X9" s="33">
        <f>M9+Q9+U9+V9</f>
        <v>2103.7399999999998</v>
      </c>
      <c r="AV9" s="32"/>
      <c r="AW9" s="32"/>
      <c r="AX9" s="32"/>
      <c r="AY9" s="32"/>
    </row>
    <row r="10" spans="1:51" ht="15.6" x14ac:dyDescent="0.3">
      <c r="A10" s="58">
        <v>1100</v>
      </c>
      <c r="B10" s="55" t="s">
        <v>19</v>
      </c>
      <c r="C10" s="60">
        <f>U10/T9*C9</f>
        <v>31.459477007293597</v>
      </c>
      <c r="D10" s="60">
        <f>U10/T9*D9</f>
        <v>60.475872043295034</v>
      </c>
      <c r="E10" s="60">
        <f>U10/T9*E9</f>
        <v>16.110270904934453</v>
      </c>
      <c r="F10" s="60">
        <f>SUM(C10:E10)</f>
        <v>108.04561995552308</v>
      </c>
      <c r="G10" s="60">
        <f>U10/T9*G9</f>
        <v>237.11965227127817</v>
      </c>
      <c r="H10" s="60">
        <f>U10/T9*H9</f>
        <v>424.96195745144087</v>
      </c>
      <c r="I10" s="60">
        <f>U10/T9*I9</f>
        <v>153.23624092188547</v>
      </c>
      <c r="J10" s="60">
        <f>SUM(G10:I10)</f>
        <v>815.3178506446045</v>
      </c>
      <c r="K10" s="60">
        <f>U10/T9*K9</f>
        <v>530.12960126277164</v>
      </c>
      <c r="L10" s="40"/>
      <c r="M10" s="40">
        <f>SUM(K10:L10)</f>
        <v>530.12960126277164</v>
      </c>
      <c r="N10" s="40">
        <f>U10/T9*N9</f>
        <v>237.11965227127817</v>
      </c>
      <c r="O10" s="40">
        <f>U10/T9*O9</f>
        <v>424.96195745144087</v>
      </c>
      <c r="P10" s="40">
        <f>U10/T9*P9</f>
        <v>153.23624092188547</v>
      </c>
      <c r="Q10" s="40">
        <f>SUM(N10:P10)</f>
        <v>815.3178506446045</v>
      </c>
      <c r="R10" s="53">
        <f>U10/T9*R9</f>
        <v>191.50692813710094</v>
      </c>
      <c r="U10" s="48">
        <v>1645</v>
      </c>
      <c r="AV10" s="32"/>
      <c r="AW10" s="32"/>
      <c r="AX10" s="32"/>
      <c r="AY10" s="32"/>
    </row>
    <row r="11" spans="1:51" ht="46.8" x14ac:dyDescent="0.3">
      <c r="A11" s="58">
        <v>1200</v>
      </c>
      <c r="B11" s="55" t="s">
        <v>20</v>
      </c>
      <c r="C11" s="60">
        <f>U11/T9*C9</f>
        <v>7.4212906260205589</v>
      </c>
      <c r="D11" s="60">
        <f>U11/T9*D9</f>
        <v>14.266258215013297</v>
      </c>
      <c r="E11" s="60">
        <f>U11/T9*E9</f>
        <v>3.8004129064740373</v>
      </c>
      <c r="F11" s="60">
        <f>SUM(C11:E11)</f>
        <v>25.487961747507892</v>
      </c>
      <c r="G11" s="60">
        <f>G10*0.2359</f>
        <v>55.93652597079452</v>
      </c>
      <c r="H11" s="60">
        <f>H10*0.2359</f>
        <v>100.2485257627949</v>
      </c>
      <c r="I11" s="60">
        <f>I10*0.2359</f>
        <v>36.148429233472783</v>
      </c>
      <c r="J11" s="60">
        <f t="shared" ref="J11:J13" si="0">SUM(G11:I11)</f>
        <v>192.3334809670622</v>
      </c>
      <c r="K11" s="60">
        <f>U11/T9*K9</f>
        <v>125.05757293788781</v>
      </c>
      <c r="L11" s="40"/>
      <c r="M11" s="40">
        <f>SUM(K11:L11)</f>
        <v>125.05757293788781</v>
      </c>
      <c r="N11" s="40">
        <f>U11/T9*N9</f>
        <v>55.93652597079452</v>
      </c>
      <c r="O11" s="40">
        <f>U11/T9*O9</f>
        <v>100.2485257627949</v>
      </c>
      <c r="P11" s="40">
        <f>U11/T9*P9</f>
        <v>36.148429233472775</v>
      </c>
      <c r="Q11" s="40">
        <f>SUM(N11:P11)</f>
        <v>192.3334809670622</v>
      </c>
      <c r="R11" s="53">
        <f>U11/T9*R9</f>
        <v>45.176484347542107</v>
      </c>
      <c r="U11" s="48">
        <f>U10*0.2359</f>
        <v>388.05549999999999</v>
      </c>
      <c r="AV11" s="32"/>
      <c r="AW11" s="32"/>
      <c r="AX11" s="32"/>
      <c r="AY11" s="32"/>
    </row>
    <row r="12" spans="1:51" ht="15.6" x14ac:dyDescent="0.3">
      <c r="A12" s="58">
        <v>2222</v>
      </c>
      <c r="B12" s="55" t="s">
        <v>21</v>
      </c>
      <c r="C12" s="60">
        <f>U12/T9*C9</f>
        <v>7.7791923782716212</v>
      </c>
      <c r="D12" s="60">
        <f>U12/T9*D9</f>
        <v>14.954267763556912</v>
      </c>
      <c r="E12" s="60">
        <f>U12/T9*E9</f>
        <v>3.9836929458967707</v>
      </c>
      <c r="F12" s="60">
        <f t="shared" ref="F12:F13" si="1">SUM(C12:E12)</f>
        <v>26.717153087725304</v>
      </c>
      <c r="G12" s="60">
        <f>U12/T9*G9</f>
        <v>58.634140397804153</v>
      </c>
      <c r="H12" s="60">
        <f>U12/T9*H9</f>
        <v>105.08314615958821</v>
      </c>
      <c r="I12" s="60">
        <v>150.35683231342182</v>
      </c>
      <c r="J12" s="60">
        <f t="shared" si="0"/>
        <v>314.07411887081417</v>
      </c>
      <c r="K12" s="60">
        <v>165.15</v>
      </c>
      <c r="L12" s="40"/>
      <c r="M12" s="40">
        <f>SUM(K12:L12)</f>
        <v>165.15</v>
      </c>
      <c r="N12" s="40">
        <f>U12/T9*N9</f>
        <v>58.634140397804153</v>
      </c>
      <c r="O12" s="40">
        <f>U12/T9*O9</f>
        <v>105.08314615958821</v>
      </c>
      <c r="P12" s="40">
        <f>U12/T9*P9</f>
        <v>37.891735999875593</v>
      </c>
      <c r="Q12" s="40">
        <f t="shared" ref="Q12:Q13" si="2">SUM(N12:P12)</f>
        <v>201.60902255726796</v>
      </c>
      <c r="R12" s="53">
        <f>U12/T9*R9</f>
        <v>47.355181251263552</v>
      </c>
      <c r="U12" s="48">
        <f>3129*0.13</f>
        <v>406.77000000000004</v>
      </c>
      <c r="V12" s="30" t="s">
        <v>87</v>
      </c>
      <c r="AV12" s="32"/>
      <c r="AW12" s="32"/>
      <c r="AX12" s="32"/>
      <c r="AY12" s="32"/>
    </row>
    <row r="13" spans="1:51" ht="15.6" x14ac:dyDescent="0.3">
      <c r="A13" s="58">
        <v>2223</v>
      </c>
      <c r="B13" s="55" t="s">
        <v>22</v>
      </c>
      <c r="C13" s="60">
        <f>U13/T9*C9</f>
        <v>13.343216840582867</v>
      </c>
      <c r="D13" s="60">
        <f>U13/T9*D9</f>
        <v>25.650225339408742</v>
      </c>
      <c r="E13" s="60">
        <f>U13/T9*E9</f>
        <v>6.8330073635755735</v>
      </c>
      <c r="F13" s="60">
        <f t="shared" si="1"/>
        <v>45.826449543567186</v>
      </c>
      <c r="G13" s="60">
        <v>626.21596968155791</v>
      </c>
      <c r="H13" s="60">
        <v>1122.2940052171346</v>
      </c>
      <c r="I13" s="60">
        <f>U12/T9*I9</f>
        <v>37.891735999875593</v>
      </c>
      <c r="J13" s="60">
        <f t="shared" si="0"/>
        <v>1786.4017108985681</v>
      </c>
      <c r="K13" s="60">
        <v>238.51</v>
      </c>
      <c r="L13" s="40"/>
      <c r="M13" s="40">
        <f>SUM(K13:L13)</f>
        <v>238.51</v>
      </c>
      <c r="N13" s="40">
        <f>U13/T9*N9</f>
        <v>100.57188607063435</v>
      </c>
      <c r="O13" s="40">
        <f>U13/T9*O9</f>
        <v>180.24328713279323</v>
      </c>
      <c r="P13" s="40">
        <f>U13/T9*P9</f>
        <v>64.993591278789495</v>
      </c>
      <c r="Q13" s="40">
        <f t="shared" si="2"/>
        <v>345.80876448221704</v>
      </c>
      <c r="R13" s="53">
        <f>U13/T9*R9</f>
        <v>81.225713574794341</v>
      </c>
      <c r="U13" s="48">
        <f>5367*0.13</f>
        <v>697.71</v>
      </c>
      <c r="V13" s="30" t="s">
        <v>87</v>
      </c>
      <c r="AV13" s="32"/>
      <c r="AW13" s="32"/>
      <c r="AX13" s="32"/>
      <c r="AY13" s="32"/>
    </row>
    <row r="14" spans="1:51" ht="15.6" x14ac:dyDescent="0.3">
      <c r="A14" s="56"/>
      <c r="B14" s="61" t="s">
        <v>23</v>
      </c>
      <c r="C14" s="60">
        <f>SUM(C9:C13)</f>
        <v>109.19317685216865</v>
      </c>
      <c r="D14" s="60">
        <f t="shared" ref="D14:I14" si="3">SUM(D9:D13)</f>
        <v>209.90662336127397</v>
      </c>
      <c r="E14" s="60">
        <f t="shared" si="3"/>
        <v>55.917384120880833</v>
      </c>
      <c r="F14" s="60">
        <f t="shared" si="3"/>
        <v>375.01718433432347</v>
      </c>
      <c r="G14" s="60">
        <f t="shared" si="3"/>
        <v>1348.6662883214346</v>
      </c>
      <c r="H14" s="60">
        <f t="shared" si="3"/>
        <v>2417.0576345909585</v>
      </c>
      <c r="I14" s="60">
        <f t="shared" si="3"/>
        <v>617.2332384686556</v>
      </c>
      <c r="J14" s="60">
        <v>1538.8026464571062</v>
      </c>
      <c r="K14" s="60">
        <f t="shared" ref="K14:R14" si="4">SUM(K9:K13)</f>
        <v>1887.7571742006596</v>
      </c>
      <c r="L14" s="40"/>
      <c r="M14" s="40">
        <f t="shared" si="4"/>
        <v>1887.7571742006596</v>
      </c>
      <c r="N14" s="40">
        <f t="shared" si="4"/>
        <v>823.02220471051112</v>
      </c>
      <c r="O14" s="40">
        <f t="shared" si="4"/>
        <v>1475.0069165066175</v>
      </c>
      <c r="P14" s="40">
        <f t="shared" si="4"/>
        <v>531.86999743402339</v>
      </c>
      <c r="Q14" s="40">
        <f t="shared" si="4"/>
        <v>2829.8991186511521</v>
      </c>
      <c r="R14" s="54">
        <f t="shared" si="4"/>
        <v>664.70430731070087</v>
      </c>
      <c r="U14" s="48">
        <f>SUM(U10:U13)</f>
        <v>3137.5355</v>
      </c>
      <c r="AV14" s="32"/>
      <c r="AW14" s="32"/>
      <c r="AX14" s="32"/>
      <c r="AY14" s="32"/>
    </row>
    <row r="15" spans="1:51" ht="15.6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60"/>
      <c r="L15" s="40"/>
      <c r="M15" s="40"/>
      <c r="N15" s="40"/>
      <c r="O15" s="40"/>
      <c r="P15" s="40"/>
      <c r="Q15" s="40"/>
      <c r="R15" s="40"/>
      <c r="AV15" s="32"/>
      <c r="AW15" s="32"/>
      <c r="AX15" s="32"/>
      <c r="AY15" s="32"/>
    </row>
    <row r="16" spans="1:51" ht="15.6" x14ac:dyDescent="0.3">
      <c r="A16" s="58">
        <v>1100</v>
      </c>
      <c r="B16" s="55" t="s">
        <v>25</v>
      </c>
      <c r="C16" s="60">
        <f t="shared" ref="C16:F34" si="5">$Y16/$X$9*C$9</f>
        <v>58.053244222194763</v>
      </c>
      <c r="D16" s="60">
        <f t="shared" si="5"/>
        <v>111.59818608763442</v>
      </c>
      <c r="E16" s="60">
        <f t="shared" si="5"/>
        <v>29.7288315095972</v>
      </c>
      <c r="F16" s="60">
        <f t="shared" si="5"/>
        <v>199.38026181942638</v>
      </c>
      <c r="G16" s="60">
        <v>467.33220018885748</v>
      </c>
      <c r="H16" s="60">
        <v>837.54511559901323</v>
      </c>
      <c r="I16" s="60">
        <v>302.00883365317253</v>
      </c>
      <c r="J16" s="60">
        <v>1606.886149441043</v>
      </c>
      <c r="K16" s="60">
        <f t="shared" ref="K16:K34" si="6">$Y16/$X$9*K$9</f>
        <v>978.26620589996867</v>
      </c>
      <c r="L16" s="40"/>
      <c r="M16" s="40">
        <f t="shared" ref="M16:Q25" si="7">$Y16/$X$9*M$9</f>
        <v>978.26620589996867</v>
      </c>
      <c r="N16" s="40">
        <f t="shared" si="7"/>
        <v>437.56496905511142</v>
      </c>
      <c r="O16" s="40">
        <f t="shared" si="7"/>
        <v>784.19677146415438</v>
      </c>
      <c r="P16" s="40">
        <f t="shared" si="7"/>
        <v>282.77205358076571</v>
      </c>
      <c r="Q16" s="40">
        <f t="shared" si="7"/>
        <v>1504.5337941000314</v>
      </c>
      <c r="R16" s="54">
        <f t="shared" ref="R16:R34" si="8">$Y16/$X$9*R$9</f>
        <v>353.39425594417565</v>
      </c>
      <c r="Y16" s="30">
        <v>2482.8000000000002</v>
      </c>
      <c r="Z16" s="37">
        <v>1100</v>
      </c>
      <c r="AA16" s="30"/>
      <c r="AV16" s="32"/>
      <c r="AW16" s="32"/>
      <c r="AX16" s="32"/>
      <c r="AY16" s="32"/>
    </row>
    <row r="17" spans="1:51" ht="46.8" x14ac:dyDescent="0.3">
      <c r="A17" s="58">
        <v>1200</v>
      </c>
      <c r="B17" s="55" t="s">
        <v>26</v>
      </c>
      <c r="C17" s="60">
        <f t="shared" si="5"/>
        <v>13.694760312015747</v>
      </c>
      <c r="D17" s="60">
        <f t="shared" si="5"/>
        <v>26.326012098072965</v>
      </c>
      <c r="E17" s="60">
        <f t="shared" si="5"/>
        <v>7.0130313531139805</v>
      </c>
      <c r="F17" s="60">
        <f t="shared" si="5"/>
        <v>47.033803763202691</v>
      </c>
      <c r="G17" s="60">
        <v>110.24366602455149</v>
      </c>
      <c r="H17" s="60">
        <v>197.57689276980722</v>
      </c>
      <c r="I17" s="60">
        <v>71.243883858783406</v>
      </c>
      <c r="J17" s="60">
        <v>379.06444265314207</v>
      </c>
      <c r="K17" s="60">
        <f t="shared" si="6"/>
        <v>230.77299797180265</v>
      </c>
      <c r="L17" s="40"/>
      <c r="M17" s="40">
        <f t="shared" si="7"/>
        <v>230.77299797180265</v>
      </c>
      <c r="N17" s="40">
        <f t="shared" si="7"/>
        <v>103.2215762001008</v>
      </c>
      <c r="O17" s="40">
        <f t="shared" si="7"/>
        <v>184.99201838839406</v>
      </c>
      <c r="P17" s="40">
        <f t="shared" si="7"/>
        <v>66.705927439702648</v>
      </c>
      <c r="Q17" s="40">
        <f t="shared" si="7"/>
        <v>354.91952202819749</v>
      </c>
      <c r="R17" s="54">
        <f t="shared" si="8"/>
        <v>83.365704977231047</v>
      </c>
      <c r="Y17" s="30">
        <f>Y16*0.2359</f>
        <v>585.69252000000006</v>
      </c>
      <c r="Z17" s="37">
        <v>1200</v>
      </c>
      <c r="AA17" s="30"/>
      <c r="AV17" s="32"/>
      <c r="AW17" s="32"/>
      <c r="AX17" s="32"/>
      <c r="AY17" s="32"/>
    </row>
    <row r="18" spans="1:51" ht="15.6" x14ac:dyDescent="0.3">
      <c r="A18" s="58">
        <v>2210</v>
      </c>
      <c r="B18" s="55" t="s">
        <v>27</v>
      </c>
      <c r="C18" s="60">
        <f t="shared" si="5"/>
        <v>3.4605607156777927E-2</v>
      </c>
      <c r="D18" s="60">
        <f t="shared" si="5"/>
        <v>6.6523809976518009E-2</v>
      </c>
      <c r="E18" s="60">
        <f t="shared" si="5"/>
        <v>1.7721391426697215E-2</v>
      </c>
      <c r="F18" s="60">
        <f t="shared" si="5"/>
        <v>0.11885080855999315</v>
      </c>
      <c r="G18" s="60">
        <v>0.2785772741580107</v>
      </c>
      <c r="H18" s="60">
        <v>0.4992616284382711</v>
      </c>
      <c r="I18" s="60">
        <v>0.18002782093068123</v>
      </c>
      <c r="J18" s="60">
        <v>0.957866723526963</v>
      </c>
      <c r="K18" s="60">
        <f t="shared" si="6"/>
        <v>0.58314563586755019</v>
      </c>
      <c r="L18" s="40"/>
      <c r="M18" s="40">
        <f t="shared" si="7"/>
        <v>0.58314563586755019</v>
      </c>
      <c r="N18" s="40">
        <f t="shared" si="7"/>
        <v>0.26083299267019688</v>
      </c>
      <c r="O18" s="40">
        <f t="shared" si="7"/>
        <v>0.46746061775694719</v>
      </c>
      <c r="P18" s="40">
        <f t="shared" si="7"/>
        <v>0.16856075370530579</v>
      </c>
      <c r="Q18" s="40">
        <f t="shared" si="7"/>
        <v>0.89685436413244979</v>
      </c>
      <c r="R18" s="54">
        <f t="shared" si="8"/>
        <v>0.21065873159230705</v>
      </c>
      <c r="Y18" s="36">
        <v>1.48</v>
      </c>
      <c r="Z18" s="37">
        <v>2210</v>
      </c>
      <c r="AA18" s="36" t="s">
        <v>108</v>
      </c>
      <c r="AV18" s="32"/>
      <c r="AW18" s="32"/>
      <c r="AX18" s="32"/>
      <c r="AY18" s="32"/>
    </row>
    <row r="19" spans="1:51" ht="15.6" x14ac:dyDescent="0.3">
      <c r="A19" s="58">
        <v>2221</v>
      </c>
      <c r="B19" s="55" t="s">
        <v>28</v>
      </c>
      <c r="C19" s="60">
        <f t="shared" si="5"/>
        <v>0</v>
      </c>
      <c r="D19" s="60">
        <f t="shared" si="5"/>
        <v>0</v>
      </c>
      <c r="E19" s="60">
        <f t="shared" si="5"/>
        <v>0</v>
      </c>
      <c r="F19" s="60">
        <f t="shared" si="5"/>
        <v>0</v>
      </c>
      <c r="G19" s="60">
        <v>0</v>
      </c>
      <c r="H19" s="60">
        <v>0</v>
      </c>
      <c r="I19" s="60">
        <v>0</v>
      </c>
      <c r="J19" s="60">
        <v>0</v>
      </c>
      <c r="K19" s="60">
        <f t="shared" si="6"/>
        <v>0</v>
      </c>
      <c r="L19" s="40"/>
      <c r="M19" s="40">
        <f t="shared" si="7"/>
        <v>0</v>
      </c>
      <c r="N19" s="40">
        <f t="shared" si="7"/>
        <v>0</v>
      </c>
      <c r="O19" s="40">
        <f t="shared" si="7"/>
        <v>0</v>
      </c>
      <c r="P19" s="40">
        <f t="shared" si="7"/>
        <v>0</v>
      </c>
      <c r="Q19" s="40">
        <f t="shared" si="7"/>
        <v>0</v>
      </c>
      <c r="R19" s="54">
        <f t="shared" si="8"/>
        <v>0</v>
      </c>
      <c r="Y19" s="36">
        <v>0</v>
      </c>
      <c r="Z19" s="37">
        <v>2221</v>
      </c>
      <c r="AA19" s="36" t="s">
        <v>89</v>
      </c>
      <c r="AV19" s="32"/>
      <c r="AW19" s="32"/>
      <c r="AX19" s="32"/>
      <c r="AY19" s="32"/>
    </row>
    <row r="20" spans="1:51" ht="15.6" x14ac:dyDescent="0.3">
      <c r="A20" s="58">
        <v>2224</v>
      </c>
      <c r="B20" s="55" t="s">
        <v>29</v>
      </c>
      <c r="C20" s="60">
        <f t="shared" si="5"/>
        <v>0.30864460437126262</v>
      </c>
      <c r="D20" s="60">
        <f t="shared" si="5"/>
        <v>0.5933204673581336</v>
      </c>
      <c r="E20" s="60">
        <f t="shared" si="5"/>
        <v>0.15805565326513735</v>
      </c>
      <c r="F20" s="60">
        <f t="shared" si="5"/>
        <v>1.0600207249945335</v>
      </c>
      <c r="G20" s="60">
        <v>2.4846081208687441</v>
      </c>
      <c r="H20" s="60">
        <v>4.4528739833683639</v>
      </c>
      <c r="I20" s="60">
        <v>1.6056535380304</v>
      </c>
      <c r="J20" s="60">
        <v>8.543135642267508</v>
      </c>
      <c r="K20" s="60">
        <f t="shared" si="6"/>
        <v>5.2010286442240963</v>
      </c>
      <c r="L20" s="40"/>
      <c r="M20" s="40">
        <f t="shared" si="7"/>
        <v>5.2010286442240963</v>
      </c>
      <c r="N20" s="40">
        <f t="shared" si="7"/>
        <v>2.3263483130044587</v>
      </c>
      <c r="O20" s="40">
        <f t="shared" si="7"/>
        <v>4.1692433475619612</v>
      </c>
      <c r="P20" s="40">
        <f t="shared" si="7"/>
        <v>1.503379695209484</v>
      </c>
      <c r="Q20" s="40">
        <f t="shared" si="7"/>
        <v>7.9989713557759039</v>
      </c>
      <c r="R20" s="54">
        <f t="shared" si="8"/>
        <v>1.8788481466340898</v>
      </c>
      <c r="Y20" s="36">
        <v>13.2</v>
      </c>
      <c r="Z20" s="37">
        <v>2224</v>
      </c>
      <c r="AA20" s="36" t="s">
        <v>90</v>
      </c>
      <c r="AV20" s="32"/>
      <c r="AW20" s="32"/>
      <c r="AX20" s="32"/>
      <c r="AY20" s="32"/>
    </row>
    <row r="21" spans="1:51" ht="15.6" x14ac:dyDescent="0.3">
      <c r="A21" s="58">
        <v>2234</v>
      </c>
      <c r="B21" s="55" t="s">
        <v>30</v>
      </c>
      <c r="C21" s="60">
        <f t="shared" si="5"/>
        <v>2.1043950298040635</v>
      </c>
      <c r="D21" s="60">
        <f t="shared" si="5"/>
        <v>4.0453668228963657</v>
      </c>
      <c r="E21" s="60">
        <f t="shared" si="5"/>
        <v>1.0776521813532092</v>
      </c>
      <c r="F21" s="60">
        <f t="shared" si="5"/>
        <v>7.2274140340536386</v>
      </c>
      <c r="G21" s="60">
        <v>16.940509915014168</v>
      </c>
      <c r="H21" s="60">
        <v>30.360504432057031</v>
      </c>
      <c r="I21" s="60">
        <v>10.947637759298184</v>
      </c>
      <c r="J21" s="60">
        <v>58.248652106369377</v>
      </c>
      <c r="K21" s="60">
        <f t="shared" si="6"/>
        <v>35.461558937891567</v>
      </c>
      <c r="L21" s="40"/>
      <c r="M21" s="40">
        <f t="shared" si="7"/>
        <v>35.461558937891567</v>
      </c>
      <c r="N21" s="40">
        <f t="shared" si="7"/>
        <v>15.861465770484946</v>
      </c>
      <c r="O21" s="40">
        <f t="shared" si="7"/>
        <v>28.426659187922464</v>
      </c>
      <c r="P21" s="40">
        <f t="shared" si="7"/>
        <v>10.250316103701028</v>
      </c>
      <c r="Q21" s="40">
        <f t="shared" si="7"/>
        <v>54.53844106210844</v>
      </c>
      <c r="R21" s="54">
        <f t="shared" si="8"/>
        <v>12.810328272505158</v>
      </c>
      <c r="Y21" s="36">
        <f>3*30</f>
        <v>90</v>
      </c>
      <c r="Z21" s="37">
        <v>2234</v>
      </c>
      <c r="AA21" s="36" t="s">
        <v>91</v>
      </c>
      <c r="AV21" s="32"/>
      <c r="AW21" s="32"/>
      <c r="AX21" s="32"/>
      <c r="AY21" s="32"/>
    </row>
    <row r="22" spans="1:51" ht="15.6" x14ac:dyDescent="0.3">
      <c r="A22" s="58">
        <v>2235</v>
      </c>
      <c r="B22" s="55" t="s">
        <v>31</v>
      </c>
      <c r="C22" s="60">
        <f t="shared" si="5"/>
        <v>1.4029300198693757</v>
      </c>
      <c r="D22" s="60">
        <f t="shared" si="5"/>
        <v>2.6969112152642443</v>
      </c>
      <c r="E22" s="60">
        <f t="shared" si="5"/>
        <v>0.71843478756880619</v>
      </c>
      <c r="F22" s="60">
        <f t="shared" si="5"/>
        <v>4.8182760227024257</v>
      </c>
      <c r="G22" s="60">
        <v>11.29367327667611</v>
      </c>
      <c r="H22" s="60">
        <v>20.240336288038019</v>
      </c>
      <c r="I22" s="60">
        <v>7.2984251728654552</v>
      </c>
      <c r="J22" s="60">
        <v>38.832434737579582</v>
      </c>
      <c r="K22" s="60">
        <f t="shared" si="6"/>
        <v>23.641039291927711</v>
      </c>
      <c r="L22" s="40"/>
      <c r="M22" s="40">
        <f t="shared" si="7"/>
        <v>23.641039291927711</v>
      </c>
      <c r="N22" s="40">
        <f t="shared" si="7"/>
        <v>10.574310513656632</v>
      </c>
      <c r="O22" s="40">
        <f t="shared" si="7"/>
        <v>18.951106125281644</v>
      </c>
      <c r="P22" s="40">
        <f t="shared" si="7"/>
        <v>6.8335440691340192</v>
      </c>
      <c r="Q22" s="40">
        <f t="shared" si="7"/>
        <v>36.358960708072296</v>
      </c>
      <c r="R22" s="54">
        <f t="shared" si="8"/>
        <v>8.5402188483367727</v>
      </c>
      <c r="Y22" s="36">
        <f>3*20</f>
        <v>60</v>
      </c>
      <c r="Z22" s="37">
        <v>2235</v>
      </c>
      <c r="AA22" s="36" t="s">
        <v>92</v>
      </c>
      <c r="AV22" s="32"/>
      <c r="AW22" s="32"/>
      <c r="AX22" s="32"/>
      <c r="AY22" s="32"/>
    </row>
    <row r="23" spans="1:51" ht="15.6" x14ac:dyDescent="0.3">
      <c r="A23" s="58">
        <v>2243</v>
      </c>
      <c r="B23" s="55" t="s">
        <v>32</v>
      </c>
      <c r="C23" s="60">
        <f t="shared" si="5"/>
        <v>0.42859512107009423</v>
      </c>
      <c r="D23" s="60">
        <f t="shared" si="5"/>
        <v>0.82390637626322649</v>
      </c>
      <c r="E23" s="60">
        <f t="shared" si="5"/>
        <v>0.21948182760227025</v>
      </c>
      <c r="F23" s="60">
        <f t="shared" si="5"/>
        <v>1.4719833249355909</v>
      </c>
      <c r="G23" s="60">
        <v>3.4502171860245516</v>
      </c>
      <c r="H23" s="60">
        <v>6.183422735995614</v>
      </c>
      <c r="I23" s="60">
        <v>2.2296688903103963</v>
      </c>
      <c r="J23" s="60">
        <v>11.863308812330562</v>
      </c>
      <c r="K23" s="60">
        <f t="shared" si="6"/>
        <v>7.2223375036839155</v>
      </c>
      <c r="L23" s="40"/>
      <c r="M23" s="40">
        <f t="shared" si="7"/>
        <v>7.2223375036839155</v>
      </c>
      <c r="N23" s="40">
        <f t="shared" si="7"/>
        <v>3.2304518619221008</v>
      </c>
      <c r="O23" s="40">
        <f t="shared" si="7"/>
        <v>5.789562921273542</v>
      </c>
      <c r="P23" s="40">
        <f t="shared" si="7"/>
        <v>2.0876477131204427</v>
      </c>
      <c r="Q23" s="40">
        <f t="shared" si="7"/>
        <v>11.107662496316085</v>
      </c>
      <c r="R23" s="54">
        <f t="shared" si="8"/>
        <v>2.6090368581668839</v>
      </c>
      <c r="Y23" s="36">
        <v>18.329999999999998</v>
      </c>
      <c r="Z23" s="37">
        <v>2243</v>
      </c>
      <c r="AA23" s="36" t="s">
        <v>93</v>
      </c>
      <c r="AV23" s="32"/>
      <c r="AW23" s="32"/>
      <c r="AX23" s="32"/>
      <c r="AY23" s="32"/>
    </row>
    <row r="24" spans="1:51" ht="15.6" x14ac:dyDescent="0.3">
      <c r="A24" s="58">
        <v>2244</v>
      </c>
      <c r="B24" s="55" t="s">
        <v>33</v>
      </c>
      <c r="C24" s="60">
        <f t="shared" si="5"/>
        <v>0.35891626341658189</v>
      </c>
      <c r="D24" s="60">
        <f t="shared" si="5"/>
        <v>0.68995978590510243</v>
      </c>
      <c r="E24" s="60">
        <f t="shared" si="5"/>
        <v>0.1837995664863529</v>
      </c>
      <c r="F24" s="60">
        <f t="shared" si="5"/>
        <v>1.2326756158080372</v>
      </c>
      <c r="G24" s="60">
        <v>2.8892980799496382</v>
      </c>
      <c r="H24" s="60">
        <v>5.1781527003563923</v>
      </c>
      <c r="I24" s="60">
        <v>1.8671804400580787</v>
      </c>
      <c r="J24" s="60">
        <v>9.9346312203641087</v>
      </c>
      <c r="K24" s="60">
        <f t="shared" si="6"/>
        <v>6.0481658855181726</v>
      </c>
      <c r="L24" s="40"/>
      <c r="M24" s="40">
        <f t="shared" si="7"/>
        <v>6.0481658855181726</v>
      </c>
      <c r="N24" s="40">
        <f t="shared" si="7"/>
        <v>2.7052611064104881</v>
      </c>
      <c r="O24" s="40">
        <f t="shared" si="7"/>
        <v>4.8483246503845541</v>
      </c>
      <c r="P24" s="40">
        <f t="shared" si="7"/>
        <v>1.7482483576867864</v>
      </c>
      <c r="Q24" s="40">
        <f t="shared" si="7"/>
        <v>9.301834114481828</v>
      </c>
      <c r="R24" s="54">
        <f t="shared" si="8"/>
        <v>2.1848726553661573</v>
      </c>
      <c r="Y24" s="36">
        <v>15.35</v>
      </c>
      <c r="Z24" s="37">
        <v>2244</v>
      </c>
      <c r="AA24" s="36" t="s">
        <v>94</v>
      </c>
      <c r="AV24" s="32"/>
      <c r="AW24" s="32"/>
      <c r="AX24" s="32"/>
      <c r="AY24" s="32"/>
    </row>
    <row r="25" spans="1:51" ht="15.6" x14ac:dyDescent="0.3">
      <c r="A25" s="58">
        <v>2247</v>
      </c>
      <c r="B25" s="55" t="s">
        <v>34</v>
      </c>
      <c r="C25" s="60">
        <f t="shared" si="5"/>
        <v>1.0989618488976774E-2</v>
      </c>
      <c r="D25" s="60">
        <f t="shared" si="5"/>
        <v>2.1125804519569909E-2</v>
      </c>
      <c r="E25" s="60">
        <f t="shared" si="5"/>
        <v>5.6277391692889809E-3</v>
      </c>
      <c r="F25" s="60">
        <f t="shared" si="5"/>
        <v>3.7743162177835667E-2</v>
      </c>
      <c r="G25" s="60">
        <v>8.8467107333962861E-2</v>
      </c>
      <c r="H25" s="60">
        <v>0.15854930092296446</v>
      </c>
      <c r="I25" s="60">
        <v>5.717099718744606E-2</v>
      </c>
      <c r="J25" s="60">
        <v>0.30418740544437334</v>
      </c>
      <c r="K25" s="60">
        <f t="shared" si="6"/>
        <v>0.18518814112010037</v>
      </c>
      <c r="L25" s="40"/>
      <c r="M25" s="40">
        <f t="shared" si="7"/>
        <v>0.18518814112010037</v>
      </c>
      <c r="N25" s="40">
        <f t="shared" si="7"/>
        <v>8.2832099023643607E-2</v>
      </c>
      <c r="O25" s="40">
        <f t="shared" si="7"/>
        <v>0.1484503313147062</v>
      </c>
      <c r="P25" s="40">
        <f t="shared" si="7"/>
        <v>5.3529428541549809E-2</v>
      </c>
      <c r="Q25" s="40">
        <f t="shared" si="7"/>
        <v>0.28481185887989957</v>
      </c>
      <c r="R25" s="54">
        <f t="shared" si="8"/>
        <v>6.6898380978638039E-2</v>
      </c>
      <c r="Y25" s="36">
        <v>0.47</v>
      </c>
      <c r="Z25" s="37">
        <v>2247</v>
      </c>
      <c r="AA25" s="36" t="s">
        <v>95</v>
      </c>
      <c r="AV25" s="32"/>
      <c r="AW25" s="32"/>
      <c r="AX25" s="32"/>
      <c r="AY25" s="32"/>
    </row>
    <row r="26" spans="1:51" ht="15.6" x14ac:dyDescent="0.3">
      <c r="A26" s="58">
        <v>2251</v>
      </c>
      <c r="B26" s="55" t="s">
        <v>35</v>
      </c>
      <c r="C26" s="60">
        <f t="shared" si="5"/>
        <v>0</v>
      </c>
      <c r="D26" s="60">
        <f t="shared" si="5"/>
        <v>0</v>
      </c>
      <c r="E26" s="60">
        <f t="shared" si="5"/>
        <v>0</v>
      </c>
      <c r="F26" s="60">
        <f t="shared" si="5"/>
        <v>0</v>
      </c>
      <c r="G26" s="60">
        <v>0</v>
      </c>
      <c r="H26" s="60">
        <v>0</v>
      </c>
      <c r="I26" s="60">
        <v>0</v>
      </c>
      <c r="J26" s="60">
        <v>0</v>
      </c>
      <c r="K26" s="60">
        <f t="shared" si="6"/>
        <v>0</v>
      </c>
      <c r="L26" s="40"/>
      <c r="M26" s="40">
        <f t="shared" ref="M26:Q34" si="9">$Y26/$X$9*M$9</f>
        <v>0</v>
      </c>
      <c r="N26" s="40">
        <f t="shared" si="9"/>
        <v>0</v>
      </c>
      <c r="O26" s="40">
        <f t="shared" si="9"/>
        <v>0</v>
      </c>
      <c r="P26" s="40">
        <f t="shared" si="9"/>
        <v>0</v>
      </c>
      <c r="Q26" s="40">
        <f t="shared" si="9"/>
        <v>0</v>
      </c>
      <c r="R26" s="54">
        <f t="shared" si="8"/>
        <v>0</v>
      </c>
      <c r="Y26" s="36">
        <v>0</v>
      </c>
      <c r="Z26" s="37">
        <v>2251</v>
      </c>
      <c r="AA26" s="36" t="s">
        <v>96</v>
      </c>
      <c r="AV26" s="32"/>
      <c r="AW26" s="32"/>
      <c r="AX26" s="32"/>
      <c r="AY26" s="32"/>
    </row>
    <row r="27" spans="1:51" ht="15.6" x14ac:dyDescent="0.3">
      <c r="A27" s="58">
        <v>2311</v>
      </c>
      <c r="B27" s="55" t="s">
        <v>36</v>
      </c>
      <c r="C27" s="60">
        <f t="shared" si="5"/>
        <v>0.27357135387452824</v>
      </c>
      <c r="D27" s="60">
        <f t="shared" si="5"/>
        <v>0.52589768697652761</v>
      </c>
      <c r="E27" s="60">
        <f t="shared" si="5"/>
        <v>0.1400947835759172</v>
      </c>
      <c r="F27" s="60">
        <f t="shared" si="5"/>
        <v>0.93956382442697295</v>
      </c>
      <c r="G27" s="60">
        <v>2.2022662889518414</v>
      </c>
      <c r="H27" s="60">
        <v>3.9468655761674136</v>
      </c>
      <c r="I27" s="60">
        <v>1.4231929087087636</v>
      </c>
      <c r="J27" s="60">
        <v>7.5723247738280177</v>
      </c>
      <c r="K27" s="60">
        <f t="shared" si="6"/>
        <v>4.6100026619259031</v>
      </c>
      <c r="L27" s="40"/>
      <c r="M27" s="40">
        <f t="shared" si="9"/>
        <v>4.6100026619259031</v>
      </c>
      <c r="N27" s="40">
        <f t="shared" si="9"/>
        <v>2.0619905501630429</v>
      </c>
      <c r="O27" s="40">
        <f t="shared" si="9"/>
        <v>3.6954656944299207</v>
      </c>
      <c r="P27" s="40">
        <f t="shared" si="9"/>
        <v>1.3325410934811337</v>
      </c>
      <c r="Q27" s="40">
        <f t="shared" si="9"/>
        <v>7.089997338074097</v>
      </c>
      <c r="R27" s="54">
        <f t="shared" si="8"/>
        <v>1.6653426754256706</v>
      </c>
      <c r="Y27" s="36">
        <v>11.7</v>
      </c>
      <c r="Z27" s="37">
        <v>2311</v>
      </c>
      <c r="AA27" s="36" t="s">
        <v>97</v>
      </c>
      <c r="AV27" s="32"/>
      <c r="AW27" s="32"/>
      <c r="AX27" s="32"/>
      <c r="AY27" s="32"/>
    </row>
    <row r="28" spans="1:51" ht="15.6" x14ac:dyDescent="0.3">
      <c r="A28" s="58">
        <v>2312</v>
      </c>
      <c r="B28" s="55" t="s">
        <v>37</v>
      </c>
      <c r="C28" s="60">
        <f t="shared" si="5"/>
        <v>0.17302803578388964</v>
      </c>
      <c r="D28" s="60">
        <f t="shared" si="5"/>
        <v>0.33261904988259011</v>
      </c>
      <c r="E28" s="60">
        <f t="shared" si="5"/>
        <v>8.8606957133486083E-2</v>
      </c>
      <c r="F28" s="60">
        <f t="shared" si="5"/>
        <v>0.59425404279996585</v>
      </c>
      <c r="G28" s="60">
        <v>1.3928863707900536</v>
      </c>
      <c r="H28" s="60">
        <v>2.4963081421913556</v>
      </c>
      <c r="I28" s="60">
        <v>0.90013910465340619</v>
      </c>
      <c r="J28" s="60">
        <v>4.7893336176348154</v>
      </c>
      <c r="K28" s="60">
        <f t="shared" si="6"/>
        <v>2.915728179337751</v>
      </c>
      <c r="L28" s="40"/>
      <c r="M28" s="40">
        <f t="shared" si="9"/>
        <v>2.915728179337751</v>
      </c>
      <c r="N28" s="40">
        <f t="shared" si="9"/>
        <v>1.3041649633509844</v>
      </c>
      <c r="O28" s="40">
        <f t="shared" si="9"/>
        <v>2.3373030887847359</v>
      </c>
      <c r="P28" s="40">
        <f t="shared" si="9"/>
        <v>0.84280376852652905</v>
      </c>
      <c r="Q28" s="40">
        <f t="shared" si="9"/>
        <v>4.4842718206622489</v>
      </c>
      <c r="R28" s="54">
        <f t="shared" si="8"/>
        <v>1.0532936579615353</v>
      </c>
      <c r="Y28" s="36">
        <v>7.4</v>
      </c>
      <c r="Z28" s="37">
        <v>2312</v>
      </c>
      <c r="AA28" s="36" t="s">
        <v>98</v>
      </c>
      <c r="AV28" s="32"/>
      <c r="AW28" s="32"/>
      <c r="AX28" s="32"/>
      <c r="AY28" s="32"/>
    </row>
    <row r="29" spans="1:51" ht="15.6" x14ac:dyDescent="0.3">
      <c r="A29" s="58">
        <v>2321</v>
      </c>
      <c r="B29" s="55" t="s">
        <v>38</v>
      </c>
      <c r="C29" s="60">
        <f t="shared" si="5"/>
        <v>7.840975881049939</v>
      </c>
      <c r="D29" s="60">
        <f t="shared" si="5"/>
        <v>15.073036782111858</v>
      </c>
      <c r="E29" s="60">
        <f t="shared" si="5"/>
        <v>4.0153320277220574</v>
      </c>
      <c r="F29" s="60">
        <f t="shared" si="5"/>
        <v>26.929344690883855</v>
      </c>
      <c r="G29" s="60">
        <v>63.120339943342771</v>
      </c>
      <c r="H29" s="60">
        <v>113.12323951384447</v>
      </c>
      <c r="I29" s="60">
        <v>40.79089829114502</v>
      </c>
      <c r="J29" s="60">
        <v>217.03447774833225</v>
      </c>
      <c r="K29" s="60">
        <f t="shared" si="6"/>
        <v>132.12976860258397</v>
      </c>
      <c r="L29" s="40"/>
      <c r="M29" s="40">
        <f t="shared" si="9"/>
        <v>132.12976860258397</v>
      </c>
      <c r="N29" s="40">
        <f t="shared" si="9"/>
        <v>59.099821460826909</v>
      </c>
      <c r="O29" s="40">
        <f t="shared" si="9"/>
        <v>105.9177321341991</v>
      </c>
      <c r="P29" s="40">
        <f t="shared" si="9"/>
        <v>38.19267780239003</v>
      </c>
      <c r="Q29" s="40">
        <f t="shared" si="9"/>
        <v>203.21023139741601</v>
      </c>
      <c r="R29" s="54">
        <f t="shared" si="8"/>
        <v>47.731283143354219</v>
      </c>
      <c r="Y29" s="36">
        <v>335.34</v>
      </c>
      <c r="Z29" s="37">
        <v>2321</v>
      </c>
      <c r="AA29" s="36" t="s">
        <v>99</v>
      </c>
      <c r="AV29" s="32"/>
      <c r="AW29" s="32"/>
      <c r="AX29" s="32"/>
      <c r="AY29" s="32"/>
    </row>
    <row r="30" spans="1:51" ht="15.6" x14ac:dyDescent="0.3">
      <c r="A30" s="58">
        <v>2341</v>
      </c>
      <c r="B30" s="55" t="s">
        <v>39</v>
      </c>
      <c r="C30" s="60">
        <f t="shared" si="5"/>
        <v>9.3528667991291711E-4</v>
      </c>
      <c r="D30" s="60">
        <f t="shared" si="5"/>
        <v>1.7979408101761627E-3</v>
      </c>
      <c r="E30" s="60">
        <f t="shared" si="5"/>
        <v>4.7895652504587077E-4</v>
      </c>
      <c r="F30" s="60">
        <f t="shared" si="5"/>
        <v>3.2121840151349505E-3</v>
      </c>
      <c r="G30" s="60">
        <v>7.5291155177840737E-3</v>
      </c>
      <c r="H30" s="60">
        <v>1.349355752535868E-2</v>
      </c>
      <c r="I30" s="60">
        <v>4.8656167819103036E-3</v>
      </c>
      <c r="J30" s="60">
        <v>2.5888289825053055E-2</v>
      </c>
      <c r="K30" s="60">
        <f t="shared" si="6"/>
        <v>1.576069286128514E-2</v>
      </c>
      <c r="L30" s="40"/>
      <c r="M30" s="40">
        <f t="shared" si="9"/>
        <v>1.576069286128514E-2</v>
      </c>
      <c r="N30" s="40">
        <f t="shared" si="9"/>
        <v>7.0495403424377543E-3</v>
      </c>
      <c r="O30" s="40">
        <f t="shared" si="9"/>
        <v>1.2634070750187763E-2</v>
      </c>
      <c r="P30" s="40">
        <f t="shared" si="9"/>
        <v>4.5556960460893465E-3</v>
      </c>
      <c r="Q30" s="40">
        <f t="shared" si="9"/>
        <v>2.4239307138714861E-2</v>
      </c>
      <c r="R30" s="54">
        <f t="shared" si="8"/>
        <v>5.6934792322245152E-3</v>
      </c>
      <c r="Y30" s="36">
        <v>0.04</v>
      </c>
      <c r="Z30" s="37" t="s">
        <v>104</v>
      </c>
      <c r="AA30" s="36" t="s">
        <v>100</v>
      </c>
      <c r="AV30" s="32"/>
      <c r="AW30" s="32"/>
      <c r="AX30" s="32"/>
      <c r="AY30" s="32"/>
    </row>
    <row r="31" spans="1:51" ht="15.6" x14ac:dyDescent="0.3">
      <c r="A31" s="58">
        <v>2351</v>
      </c>
      <c r="B31" s="55" t="s">
        <v>40</v>
      </c>
      <c r="C31" s="60">
        <f t="shared" si="5"/>
        <v>0.31495778946067482</v>
      </c>
      <c r="D31" s="60">
        <f t="shared" si="5"/>
        <v>0.60545656782682289</v>
      </c>
      <c r="E31" s="60">
        <f t="shared" si="5"/>
        <v>0.16128860980919699</v>
      </c>
      <c r="F31" s="60">
        <f t="shared" si="5"/>
        <v>1.0817029670966947</v>
      </c>
      <c r="G31" s="60">
        <v>2.535429650613787</v>
      </c>
      <c r="H31" s="60">
        <v>4.5439554966645357</v>
      </c>
      <c r="I31" s="60">
        <v>1.6384964513082947</v>
      </c>
      <c r="J31" s="60">
        <v>8.7178815985866169</v>
      </c>
      <c r="K31" s="60">
        <f t="shared" si="6"/>
        <v>5.3074133210377719</v>
      </c>
      <c r="L31" s="40"/>
      <c r="M31" s="40">
        <f t="shared" si="9"/>
        <v>5.3074133210377719</v>
      </c>
      <c r="N31" s="40">
        <f t="shared" si="9"/>
        <v>2.373932710315914</v>
      </c>
      <c r="O31" s="40">
        <f t="shared" si="9"/>
        <v>4.2545233251257297</v>
      </c>
      <c r="P31" s="40">
        <f t="shared" si="9"/>
        <v>1.5341306435205875</v>
      </c>
      <c r="Q31" s="40">
        <f t="shared" si="9"/>
        <v>8.1625866789622297</v>
      </c>
      <c r="R31" s="54">
        <f t="shared" si="8"/>
        <v>1.9172791314516056</v>
      </c>
      <c r="Y31" s="36">
        <v>13.47</v>
      </c>
      <c r="Z31" s="37" t="s">
        <v>102</v>
      </c>
      <c r="AA31" s="36" t="s">
        <v>97</v>
      </c>
      <c r="AV31" s="32"/>
      <c r="AW31" s="32"/>
      <c r="AX31" s="32"/>
      <c r="AY31" s="32"/>
    </row>
    <row r="32" spans="1:51" ht="15.6" x14ac:dyDescent="0.3">
      <c r="A32" s="58">
        <v>2352</v>
      </c>
      <c r="B32" s="55" t="s">
        <v>41</v>
      </c>
      <c r="C32" s="60">
        <f t="shared" si="5"/>
        <v>0.15970020059513057</v>
      </c>
      <c r="D32" s="60">
        <f t="shared" si="5"/>
        <v>0.30699839333757978</v>
      </c>
      <c r="E32" s="60">
        <f t="shared" si="5"/>
        <v>8.1781826651582429E-2</v>
      </c>
      <c r="F32" s="60">
        <f t="shared" si="5"/>
        <v>0.5484804205842928</v>
      </c>
      <c r="G32" s="60">
        <v>1.2855964746616306</v>
      </c>
      <c r="H32" s="60">
        <v>2.3040249474549945</v>
      </c>
      <c r="I32" s="60">
        <v>0.83080406551118424</v>
      </c>
      <c r="J32" s="60">
        <v>4.4204254876278091</v>
      </c>
      <c r="K32" s="60">
        <f t="shared" si="6"/>
        <v>2.6911383060644378</v>
      </c>
      <c r="L32" s="40"/>
      <c r="M32" s="40">
        <f t="shared" si="9"/>
        <v>2.6911383060644378</v>
      </c>
      <c r="N32" s="40">
        <f t="shared" si="9"/>
        <v>1.2037090134712465</v>
      </c>
      <c r="O32" s="40">
        <f t="shared" si="9"/>
        <v>2.1572675805945605</v>
      </c>
      <c r="P32" s="40">
        <f t="shared" si="9"/>
        <v>0.77788509986975585</v>
      </c>
      <c r="Q32" s="40">
        <f t="shared" si="9"/>
        <v>4.1388616939355627</v>
      </c>
      <c r="R32" s="54">
        <f t="shared" si="8"/>
        <v>0.9721615789023359</v>
      </c>
      <c r="Y32" s="36">
        <v>6.83</v>
      </c>
      <c r="Z32" s="37" t="s">
        <v>103</v>
      </c>
      <c r="AA32" s="36" t="s">
        <v>98</v>
      </c>
      <c r="AV32" s="32"/>
      <c r="AW32" s="32"/>
      <c r="AX32" s="32"/>
      <c r="AY32" s="32"/>
    </row>
    <row r="33" spans="1:51" ht="15.6" x14ac:dyDescent="0.3">
      <c r="A33" s="58">
        <v>2362</v>
      </c>
      <c r="B33" s="55" t="s">
        <v>42</v>
      </c>
      <c r="C33" s="60">
        <f t="shared" si="5"/>
        <v>0.19290287773203915</v>
      </c>
      <c r="D33" s="60">
        <f t="shared" si="5"/>
        <v>0.37082529209883358</v>
      </c>
      <c r="E33" s="60">
        <f t="shared" si="5"/>
        <v>9.8784783290710859E-2</v>
      </c>
      <c r="F33" s="60">
        <f t="shared" si="5"/>
        <v>0.66251295312158365</v>
      </c>
      <c r="G33" s="60">
        <v>1.5528800755429653</v>
      </c>
      <c r="H33" s="60">
        <v>2.7830462396052278</v>
      </c>
      <c r="I33" s="60">
        <v>1.0035334612690001</v>
      </c>
      <c r="J33" s="60">
        <v>5.3394597764171925</v>
      </c>
      <c r="K33" s="60">
        <f t="shared" si="6"/>
        <v>3.2506429026400605</v>
      </c>
      <c r="L33" s="40"/>
      <c r="M33" s="40">
        <f t="shared" si="9"/>
        <v>3.2506429026400605</v>
      </c>
      <c r="N33" s="40">
        <f t="shared" si="9"/>
        <v>1.4539676956277869</v>
      </c>
      <c r="O33" s="40">
        <f t="shared" si="9"/>
        <v>2.6057770922262264</v>
      </c>
      <c r="P33" s="40">
        <f t="shared" si="9"/>
        <v>0.93961230950592767</v>
      </c>
      <c r="Q33" s="40">
        <f t="shared" si="9"/>
        <v>4.9993570973599404</v>
      </c>
      <c r="R33" s="54">
        <f t="shared" si="8"/>
        <v>1.1742800916463063</v>
      </c>
      <c r="Y33" s="36">
        <v>8.25</v>
      </c>
      <c r="Z33" s="37">
        <v>2362</v>
      </c>
      <c r="AA33" s="36" t="s">
        <v>101</v>
      </c>
      <c r="AV33" s="32"/>
      <c r="AW33" s="32"/>
      <c r="AX33" s="32"/>
      <c r="AY33" s="32"/>
    </row>
    <row r="34" spans="1:51" ht="15.6" x14ac:dyDescent="0.3">
      <c r="A34" s="58" t="s">
        <v>13</v>
      </c>
      <c r="B34" s="55" t="s">
        <v>43</v>
      </c>
      <c r="C34" s="60">
        <f t="shared" si="5"/>
        <v>0</v>
      </c>
      <c r="D34" s="60">
        <f t="shared" si="5"/>
        <v>0</v>
      </c>
      <c r="E34" s="60">
        <f t="shared" si="5"/>
        <v>0</v>
      </c>
      <c r="F34" s="60">
        <f t="shared" si="5"/>
        <v>0</v>
      </c>
      <c r="G34" s="60">
        <v>0</v>
      </c>
      <c r="H34" s="60">
        <v>0</v>
      </c>
      <c r="I34" s="60">
        <v>0</v>
      </c>
      <c r="J34" s="60">
        <v>0</v>
      </c>
      <c r="K34" s="60">
        <f t="shared" si="6"/>
        <v>0</v>
      </c>
      <c r="L34" s="40"/>
      <c r="M34" s="40">
        <f t="shared" si="9"/>
        <v>0</v>
      </c>
      <c r="N34" s="40">
        <f t="shared" si="9"/>
        <v>0</v>
      </c>
      <c r="O34" s="40">
        <f t="shared" si="9"/>
        <v>0</v>
      </c>
      <c r="P34" s="40">
        <f t="shared" si="9"/>
        <v>0</v>
      </c>
      <c r="Q34" s="40">
        <f t="shared" si="9"/>
        <v>0</v>
      </c>
      <c r="R34" s="54">
        <f t="shared" si="8"/>
        <v>0</v>
      </c>
      <c r="Y34" s="36">
        <v>0</v>
      </c>
      <c r="Z34" s="39">
        <v>5239</v>
      </c>
      <c r="AA34" s="38" t="s">
        <v>43</v>
      </c>
    </row>
    <row r="35" spans="1:51" ht="15.6" x14ac:dyDescent="0.3">
      <c r="A35" s="56"/>
      <c r="B35" s="61" t="s">
        <v>44</v>
      </c>
      <c r="C35" s="60">
        <f>SUM(C16:C34)</f>
        <v>85.353152223563768</v>
      </c>
      <c r="D35" s="60">
        <f t="shared" ref="D35:R35" si="10">SUM(D16:D34)</f>
        <v>164.07794418093494</v>
      </c>
      <c r="E35" s="60">
        <f t="shared" si="10"/>
        <v>43.709003954290942</v>
      </c>
      <c r="F35" s="60">
        <f t="shared" si="10"/>
        <v>293.14010035878954</v>
      </c>
      <c r="G35" s="60">
        <v>687.09814509285491</v>
      </c>
      <c r="H35" s="60">
        <v>1231.4060429114504</v>
      </c>
      <c r="I35" s="60">
        <v>444.03041203001413</v>
      </c>
      <c r="J35" s="60">
        <v>2362.5346000343197</v>
      </c>
      <c r="K35" s="60">
        <f t="shared" si="10"/>
        <v>1438.3021225784555</v>
      </c>
      <c r="L35" s="40"/>
      <c r="M35" s="40">
        <f t="shared" si="10"/>
        <v>1438.3021225784555</v>
      </c>
      <c r="N35" s="40">
        <f t="shared" si="10"/>
        <v>643.33268384648306</v>
      </c>
      <c r="O35" s="40">
        <f t="shared" si="10"/>
        <v>1152.9703000201546</v>
      </c>
      <c r="P35" s="40">
        <f t="shared" si="10"/>
        <v>415.74741355490715</v>
      </c>
      <c r="Q35" s="40">
        <f t="shared" si="10"/>
        <v>2212.0503974215449</v>
      </c>
      <c r="R35" s="54">
        <f t="shared" si="10"/>
        <v>519.58015657296062</v>
      </c>
    </row>
    <row r="36" spans="1:51" ht="15.75" customHeight="1" x14ac:dyDescent="0.3">
      <c r="A36" s="55"/>
      <c r="B36" s="55" t="s">
        <v>45</v>
      </c>
      <c r="C36" s="60">
        <f>C14+C35</f>
        <v>194.54632907573242</v>
      </c>
      <c r="D36" s="60">
        <f t="shared" ref="D36:R36" si="11">D14+D35</f>
        <v>373.98456754220888</v>
      </c>
      <c r="E36" s="60">
        <f t="shared" si="11"/>
        <v>99.626388075171775</v>
      </c>
      <c r="F36" s="60">
        <f t="shared" si="11"/>
        <v>668.15728469311307</v>
      </c>
      <c r="G36" s="60">
        <v>2225.900791549961</v>
      </c>
      <c r="H36" s="60">
        <v>3989.2229446574684</v>
      </c>
      <c r="I36" s="60">
        <v>1438.4664733395477</v>
      </c>
      <c r="J36" s="60">
        <v>7653.5902095469773</v>
      </c>
      <c r="K36" s="60">
        <f t="shared" si="11"/>
        <v>3326.0592967791154</v>
      </c>
      <c r="L36" s="40"/>
      <c r="M36" s="40">
        <f t="shared" si="11"/>
        <v>3326.0592967791154</v>
      </c>
      <c r="N36" s="40">
        <f t="shared" si="11"/>
        <v>1466.3548885569942</v>
      </c>
      <c r="O36" s="40">
        <f t="shared" si="11"/>
        <v>2627.9772165267723</v>
      </c>
      <c r="P36" s="40">
        <f t="shared" si="11"/>
        <v>947.61741098893049</v>
      </c>
      <c r="Q36" s="40">
        <f t="shared" si="11"/>
        <v>5041.9495160726965</v>
      </c>
      <c r="R36" s="54">
        <f t="shared" si="11"/>
        <v>1184.2844638836614</v>
      </c>
    </row>
    <row r="37" spans="1:51" ht="22.5" customHeight="1" x14ac:dyDescent="0.3">
      <c r="A37" s="55"/>
      <c r="B37" s="55" t="s">
        <v>46</v>
      </c>
      <c r="C37" s="62">
        <v>127</v>
      </c>
      <c r="D37" s="62">
        <v>126</v>
      </c>
      <c r="E37" s="62">
        <v>100</v>
      </c>
      <c r="F37" s="62" t="s">
        <v>47</v>
      </c>
      <c r="G37" s="62">
        <v>710</v>
      </c>
      <c r="H37" s="62">
        <v>709</v>
      </c>
      <c r="I37" s="62">
        <v>701</v>
      </c>
      <c r="J37" s="62" t="s">
        <v>47</v>
      </c>
      <c r="K37" s="62">
        <v>610</v>
      </c>
      <c r="L37" s="47"/>
      <c r="M37" s="47" t="s">
        <v>47</v>
      </c>
      <c r="N37" s="47">
        <v>710</v>
      </c>
      <c r="O37" s="47">
        <v>709</v>
      </c>
      <c r="P37" s="47">
        <v>701</v>
      </c>
      <c r="Q37" s="47" t="s">
        <v>47</v>
      </c>
      <c r="R37" s="47">
        <v>213</v>
      </c>
    </row>
    <row r="38" spans="1:51" ht="51" customHeight="1" x14ac:dyDescent="0.3">
      <c r="A38" s="55"/>
      <c r="B38" s="55" t="s">
        <v>123</v>
      </c>
      <c r="C38" s="60">
        <f>C14/C37</f>
        <v>0.85978879411156417</v>
      </c>
      <c r="D38" s="60">
        <f t="shared" ref="D38:E38" si="12">D14/D37</f>
        <v>1.6659255822323331</v>
      </c>
      <c r="E38" s="60">
        <f t="shared" si="12"/>
        <v>0.55917384120880831</v>
      </c>
      <c r="F38" s="60">
        <f>SUM(C38:E38)</f>
        <v>3.0848882175527055</v>
      </c>
      <c r="G38" s="60">
        <f>G14/G37</f>
        <v>1.8995299835513164</v>
      </c>
      <c r="H38" s="113">
        <f t="shared" ref="H38:I38" si="13">H14/H37</f>
        <v>3.4091080882806186</v>
      </c>
      <c r="I38" s="60">
        <f t="shared" si="13"/>
        <v>0.88050390651734034</v>
      </c>
      <c r="J38" s="60">
        <v>10.813640766125832</v>
      </c>
      <c r="K38" s="63">
        <f>K14/K37</f>
        <v>3.0946838921322288</v>
      </c>
      <c r="L38" s="40"/>
      <c r="M38" s="40">
        <f>SUM(K38:L38)</f>
        <v>3.0946838921322288</v>
      </c>
      <c r="N38" s="40">
        <f t="shared" ref="N38:R38" si="14">N36/N37</f>
        <v>2.065288575432386</v>
      </c>
      <c r="O38" s="40">
        <f t="shared" si="14"/>
        <v>3.7065969203480567</v>
      </c>
      <c r="P38" s="40">
        <f t="shared" si="14"/>
        <v>1.3518080042638096</v>
      </c>
      <c r="Q38" s="40">
        <f>SUM(N38:P38)</f>
        <v>7.1236935000442525</v>
      </c>
      <c r="R38" s="54">
        <f t="shared" si="14"/>
        <v>5.5600209572002885</v>
      </c>
    </row>
    <row r="39" spans="1:51" ht="56.25" customHeight="1" x14ac:dyDescent="0.3">
      <c r="A39" s="55"/>
      <c r="B39" s="55" t="s">
        <v>125</v>
      </c>
      <c r="C39" s="59">
        <f>C9/C37</f>
        <v>0.3873228346456693</v>
      </c>
      <c r="D39" s="59">
        <f>D9/D37</f>
        <v>0.75047619047619052</v>
      </c>
      <c r="E39" s="59">
        <f>E9/E37</f>
        <v>0.25190000000000001</v>
      </c>
      <c r="F39" s="59">
        <f>SUM(C39:E39)</f>
        <v>1.3896990251218599</v>
      </c>
      <c r="G39" s="59">
        <v>0.52219718309859153</v>
      </c>
      <c r="H39" s="59">
        <v>0.93719322990126941</v>
      </c>
      <c r="I39" s="59">
        <v>0.34179743223965764</v>
      </c>
      <c r="J39" s="59">
        <v>1.8011878452395185</v>
      </c>
      <c r="K39" s="59">
        <f>K9/K37</f>
        <v>1.3588688524590165</v>
      </c>
      <c r="L39" s="40"/>
      <c r="M39" s="40" t="e">
        <f>#REF!+K39+L39</f>
        <v>#REF!</v>
      </c>
      <c r="N39" s="40">
        <f>N9/N37</f>
        <v>0.52219718309859153</v>
      </c>
      <c r="O39" s="40">
        <f>O9/O37</f>
        <v>0.93719322990126941</v>
      </c>
      <c r="P39" s="40">
        <f>P9/P37</f>
        <v>0.34179743223965764</v>
      </c>
      <c r="Q39" s="40">
        <f>SUM(N39:P39)</f>
        <v>1.8011878452395185</v>
      </c>
      <c r="R39" s="40">
        <f>R9/R37</f>
        <v>1.4058215962441314</v>
      </c>
    </row>
  </sheetData>
  <mergeCells count="5">
    <mergeCell ref="E1:K1"/>
    <mergeCell ref="A6:B6"/>
    <mergeCell ref="G6:J6"/>
    <mergeCell ref="N6:Q6"/>
    <mergeCell ref="C6:F6"/>
  </mergeCells>
  <pageMargins left="0.7" right="0.7" top="0.75" bottom="0.75" header="0.3" footer="0.3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E431-4011-473B-9E9E-20DECFBA1A8C}">
  <sheetPr>
    <pageSetUpPr fitToPage="1"/>
  </sheetPr>
  <dimension ref="A1:BD39"/>
  <sheetViews>
    <sheetView zoomScale="112" zoomScaleNormal="112" workbookViewId="0">
      <selection activeCell="K1" sqref="K1:R1"/>
    </sheetView>
  </sheetViews>
  <sheetFormatPr defaultRowHeight="14.4" x14ac:dyDescent="0.3"/>
  <cols>
    <col min="1" max="1" width="10.6640625" customWidth="1"/>
    <col min="2" max="2" width="43" style="28" customWidth="1"/>
    <col min="3" max="10" width="10.6640625" customWidth="1"/>
    <col min="11" max="11" width="10.109375" bestFit="1" customWidth="1"/>
    <col min="13" max="13" width="10.109375" bestFit="1" customWidth="1"/>
    <col min="15" max="15" width="10.109375" customWidth="1"/>
    <col min="16" max="16" width="10.5546875" customWidth="1"/>
    <col min="19" max="21" width="9.109375" style="48" hidden="1" customWidth="1"/>
    <col min="22" max="22" width="24.6640625" style="48" hidden="1" customWidth="1"/>
    <col min="23" max="27" width="9.109375" style="32" customWidth="1"/>
    <col min="28" max="56" width="9.109375" style="32"/>
  </cols>
  <sheetData>
    <row r="1" spans="1:56" s="15" customFormat="1" ht="69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14" t="s">
        <v>147</v>
      </c>
      <c r="L1" s="7"/>
      <c r="M1" s="7"/>
      <c r="N1" s="7"/>
      <c r="O1" s="7"/>
      <c r="P1" s="7"/>
      <c r="Q1" s="7"/>
      <c r="R1" s="7"/>
      <c r="S1" s="43"/>
      <c r="T1" s="43"/>
      <c r="U1" s="43"/>
      <c r="V1" s="43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</row>
    <row r="2" spans="1:56" s="15" customFormat="1" ht="13.8" x14ac:dyDescent="0.25">
      <c r="A2" s="21"/>
      <c r="B2" s="21"/>
      <c r="C2" s="22"/>
      <c r="D2" s="22"/>
      <c r="E2" s="22"/>
      <c r="F2" s="27"/>
      <c r="G2" s="27"/>
      <c r="H2" s="27"/>
      <c r="I2" s="27"/>
      <c r="J2" s="27"/>
      <c r="K2" s="27"/>
      <c r="L2" s="27"/>
      <c r="M2" s="23"/>
      <c r="N2" s="23"/>
      <c r="O2" s="23"/>
      <c r="P2" s="23"/>
      <c r="S2" s="43"/>
      <c r="T2" s="43"/>
      <c r="U2" s="43"/>
      <c r="V2" s="43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56" s="15" customFormat="1" ht="13.8" x14ac:dyDescent="0.25">
      <c r="A3" s="35" t="s">
        <v>14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S3" s="43"/>
      <c r="T3" s="43"/>
      <c r="U3" s="43"/>
      <c r="V3" s="43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</row>
    <row r="4" spans="1:56" s="15" customFormat="1" ht="13.8" x14ac:dyDescent="0.25">
      <c r="A4" s="20" t="s">
        <v>109</v>
      </c>
      <c r="B4" s="34"/>
      <c r="C4" s="18"/>
      <c r="D4" s="19"/>
      <c r="E4" s="19"/>
      <c r="F4" s="19"/>
      <c r="G4" s="19"/>
      <c r="H4" s="19"/>
      <c r="I4" s="19"/>
      <c r="J4" s="19"/>
      <c r="K4" s="20"/>
      <c r="L4" s="19"/>
      <c r="S4" s="43"/>
      <c r="T4" s="43"/>
      <c r="U4" s="43"/>
      <c r="V4" s="43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</row>
    <row r="6" spans="1:56" ht="28.8" x14ac:dyDescent="0.3">
      <c r="A6" s="9" t="s">
        <v>72</v>
      </c>
      <c r="B6" s="8"/>
      <c r="C6" s="11" t="s">
        <v>48</v>
      </c>
      <c r="D6" s="11"/>
      <c r="E6" s="11"/>
      <c r="F6" s="11"/>
      <c r="G6" s="11" t="s">
        <v>73</v>
      </c>
      <c r="H6" s="11"/>
      <c r="I6" s="11"/>
      <c r="J6" s="11"/>
      <c r="K6" s="11" t="s">
        <v>70</v>
      </c>
      <c r="L6" s="11"/>
      <c r="M6" s="11"/>
      <c r="N6" s="11"/>
      <c r="O6" s="10" t="s">
        <v>71</v>
      </c>
      <c r="P6" s="10"/>
      <c r="Q6" s="10"/>
      <c r="R6" s="10"/>
      <c r="T6" s="49" t="s">
        <v>84</v>
      </c>
      <c r="U6" s="49" t="s">
        <v>80</v>
      </c>
    </row>
    <row r="7" spans="1:56" ht="31.2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  <c r="O7" s="57" t="s">
        <v>1</v>
      </c>
      <c r="P7" s="57" t="s">
        <v>2</v>
      </c>
      <c r="Q7" s="57" t="s">
        <v>3</v>
      </c>
      <c r="R7" s="57" t="s">
        <v>4</v>
      </c>
    </row>
    <row r="8" spans="1:56" ht="15.6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56" ht="15.6" x14ac:dyDescent="0.3">
      <c r="A9" s="58">
        <v>2363</v>
      </c>
      <c r="B9" s="55" t="s">
        <v>18</v>
      </c>
      <c r="C9" s="59">
        <v>44.49</v>
      </c>
      <c r="D9" s="59">
        <v>66.77</v>
      </c>
      <c r="E9" s="59">
        <v>25.55</v>
      </c>
      <c r="F9" s="59">
        <f>C9+D9+E9</f>
        <v>136.81</v>
      </c>
      <c r="G9" s="59">
        <v>336.54</v>
      </c>
      <c r="H9" s="59">
        <v>491.89</v>
      </c>
      <c r="I9" s="59">
        <v>209.22</v>
      </c>
      <c r="J9" s="59">
        <f>SUM(G9:I9)</f>
        <v>1037.6500000000001</v>
      </c>
      <c r="K9" s="59"/>
      <c r="L9" s="59">
        <v>535</v>
      </c>
      <c r="M9" s="59"/>
      <c r="N9" s="59">
        <f>SUM(K9:M9)</f>
        <v>535</v>
      </c>
      <c r="O9" s="59"/>
      <c r="P9" s="59">
        <v>623.75</v>
      </c>
      <c r="Q9" s="59"/>
      <c r="R9" s="59">
        <f>SUM(O9:Q9)</f>
        <v>623.75</v>
      </c>
      <c r="T9" s="50">
        <v>2345.54</v>
      </c>
    </row>
    <row r="10" spans="1:56" ht="15.6" x14ac:dyDescent="0.3">
      <c r="A10" s="58">
        <v>1100</v>
      </c>
      <c r="B10" s="55" t="s">
        <v>19</v>
      </c>
      <c r="C10" s="60">
        <f>U10/T9*C9</f>
        <v>36.721880675665311</v>
      </c>
      <c r="D10" s="60">
        <f>U10/T9*D9</f>
        <v>55.111709883438358</v>
      </c>
      <c r="E10" s="60">
        <f>U10/T9*E9</f>
        <v>21.088875056490192</v>
      </c>
      <c r="F10" s="60">
        <f>SUM(C10:E10)</f>
        <v>112.92246561559386</v>
      </c>
      <c r="G10" s="60">
        <f>U10/T9*G9</f>
        <v>277.77886542118239</v>
      </c>
      <c r="H10" s="60">
        <f>U10/T9*H9</f>
        <v>406.00417814234675</v>
      </c>
      <c r="I10" s="60">
        <f>U10/T9*I9</f>
        <v>172.68941054085627</v>
      </c>
      <c r="J10" s="60">
        <f>SUM(G10:I10)</f>
        <v>856.47245410438541</v>
      </c>
      <c r="K10" s="59"/>
      <c r="L10" s="59">
        <f>U10/T9*L9</f>
        <v>441.58701194607642</v>
      </c>
      <c r="M10" s="59"/>
      <c r="N10" s="59">
        <f>SUM(K10:M10)</f>
        <v>441.58701194607642</v>
      </c>
      <c r="O10" s="59"/>
      <c r="P10" s="59">
        <f>U10/T9*P9</f>
        <v>514.84093215208441</v>
      </c>
      <c r="Q10" s="59"/>
      <c r="R10" s="59">
        <f>SUM(O10:Q10)</f>
        <v>514.84093215208441</v>
      </c>
      <c r="U10" s="48">
        <v>1936</v>
      </c>
    </row>
    <row r="11" spans="1:56" ht="46.8" x14ac:dyDescent="0.3">
      <c r="A11" s="58">
        <v>1200</v>
      </c>
      <c r="B11" s="55" t="s">
        <v>20</v>
      </c>
      <c r="C11" s="60">
        <f>U11/T9*C9</f>
        <v>8.6626916513894461</v>
      </c>
      <c r="D11" s="60">
        <f>U11/T9*D9</f>
        <v>13.000852361503108</v>
      </c>
      <c r="E11" s="60">
        <f>U11/T9*E9</f>
        <v>4.9748656258260366</v>
      </c>
      <c r="F11" s="60">
        <f>SUM(C11:E11)</f>
        <v>26.638409638718592</v>
      </c>
      <c r="G11" s="60">
        <f>U11/T9*G9</f>
        <v>65.52803435285692</v>
      </c>
      <c r="H11" s="60">
        <f>U11/T9*H9</f>
        <v>95.776385623779603</v>
      </c>
      <c r="I11" s="60">
        <f>U11/T9*I9</f>
        <v>40.737431946587996</v>
      </c>
      <c r="J11" s="60">
        <f>SUM(G11:I11)</f>
        <v>202.04185192322453</v>
      </c>
      <c r="K11" s="59"/>
      <c r="L11" s="59">
        <f>U11/T9*L9</f>
        <v>104.17037611807943</v>
      </c>
      <c r="M11" s="59"/>
      <c r="N11" s="59">
        <f>SUM(K11:M11)</f>
        <v>104.17037611807943</v>
      </c>
      <c r="O11" s="59"/>
      <c r="P11" s="59">
        <f>U11/T9*P9</f>
        <v>121.45097589467672</v>
      </c>
      <c r="Q11" s="59"/>
      <c r="R11" s="59">
        <f>SUM(O11:Q11)</f>
        <v>121.45097589467672</v>
      </c>
      <c r="U11" s="48">
        <f>U10*0.2359</f>
        <v>456.70240000000001</v>
      </c>
    </row>
    <row r="12" spans="1:56" ht="15.6" x14ac:dyDescent="0.3">
      <c r="A12" s="58">
        <v>2222</v>
      </c>
      <c r="B12" s="55" t="s">
        <v>21</v>
      </c>
      <c r="C12" s="60">
        <f>U12/T9*C9</f>
        <v>9.3479568457583344</v>
      </c>
      <c r="D12" s="60">
        <f>U12/T9*D9</f>
        <v>14.029289246825892</v>
      </c>
      <c r="E12" s="60">
        <f>U12/T9*E9</f>
        <v>5.3684040775258577</v>
      </c>
      <c r="F12" s="60">
        <f t="shared" ref="F12:F13" si="0">SUM(C12:E12)</f>
        <v>28.745650170110082</v>
      </c>
      <c r="G12" s="60">
        <f>U12/T9*G9</f>
        <v>70.711651986322991</v>
      </c>
      <c r="H12" s="60">
        <f>U12/T9*H9</f>
        <v>103.35280945965535</v>
      </c>
      <c r="I12" s="60">
        <f>U12/T9*I9</f>
        <v>43.959980473579648</v>
      </c>
      <c r="J12" s="60">
        <f t="shared" ref="J12:J13" si="1">SUM(G12:I12)</f>
        <v>218.024441919558</v>
      </c>
      <c r="K12" s="59"/>
      <c r="L12" s="59">
        <f>U12/T9*L9</f>
        <v>112.41080945112853</v>
      </c>
      <c r="M12" s="59"/>
      <c r="N12" s="59">
        <f t="shared" ref="N12:N13" si="2">SUM(K12:M12)</f>
        <v>112.41080945112853</v>
      </c>
      <c r="O12" s="59"/>
      <c r="P12" s="59">
        <f>U12/T9*P9</f>
        <v>131.05839700026434</v>
      </c>
      <c r="Q12" s="59"/>
      <c r="R12" s="59">
        <f t="shared" ref="R12:R13" si="3">SUM(O12:Q12)</f>
        <v>131.05839700026434</v>
      </c>
      <c r="U12" s="48">
        <f>3791*0.13</f>
        <v>492.83000000000004</v>
      </c>
      <c r="V12" s="43"/>
    </row>
    <row r="13" spans="1:56" ht="15.6" x14ac:dyDescent="0.3">
      <c r="A13" s="58">
        <v>2223</v>
      </c>
      <c r="B13" s="55" t="s">
        <v>22</v>
      </c>
      <c r="C13" s="60">
        <f>U13/T9*C9</f>
        <v>12.558465896978948</v>
      </c>
      <c r="D13" s="60">
        <f>U13/T9*D9</f>
        <v>18.847578510705421</v>
      </c>
      <c r="E13" s="60">
        <f>U13/T9*E9</f>
        <v>7.212155623012185</v>
      </c>
      <c r="F13" s="60">
        <f t="shared" si="0"/>
        <v>38.618200030696556</v>
      </c>
      <c r="G13" s="60">
        <f>U13/T9*G9</f>
        <v>94.99721539602821</v>
      </c>
      <c r="H13" s="60">
        <f>U13/T9*H9</f>
        <v>138.84881524084005</v>
      </c>
      <c r="I13" s="60">
        <f>U13/T9*I9</f>
        <v>59.057816025307602</v>
      </c>
      <c r="J13" s="60">
        <f t="shared" si="1"/>
        <v>292.90384666217585</v>
      </c>
      <c r="K13" s="59"/>
      <c r="L13" s="59">
        <f>U13/T9*L9</f>
        <v>151.01774005133146</v>
      </c>
      <c r="M13" s="59"/>
      <c r="N13" s="59">
        <f t="shared" si="2"/>
        <v>151.01774005133146</v>
      </c>
      <c r="O13" s="59"/>
      <c r="P13" s="59">
        <f>U13/T9*P9</f>
        <v>176.06974833087477</v>
      </c>
      <c r="Q13" s="59"/>
      <c r="R13" s="59">
        <f t="shared" si="3"/>
        <v>176.06974833087477</v>
      </c>
      <c r="U13" s="48">
        <f>5093*0.13</f>
        <v>662.09</v>
      </c>
      <c r="V13" s="43"/>
    </row>
    <row r="14" spans="1:56" ht="15.6" x14ac:dyDescent="0.3">
      <c r="A14" s="56"/>
      <c r="B14" s="61" t="s">
        <v>23</v>
      </c>
      <c r="C14" s="60">
        <f>SUM(C9:C13)</f>
        <v>111.78099506979204</v>
      </c>
      <c r="D14" s="60">
        <f t="shared" ref="D14:P14" si="4">SUM(D9:D13)</f>
        <v>167.75943000247281</v>
      </c>
      <c r="E14" s="60">
        <f t="shared" si="4"/>
        <v>64.194300382854266</v>
      </c>
      <c r="F14" s="60">
        <f t="shared" si="4"/>
        <v>343.73472545511913</v>
      </c>
      <c r="G14" s="60">
        <f t="shared" si="4"/>
        <v>845.55576715639052</v>
      </c>
      <c r="H14" s="60">
        <f t="shared" si="4"/>
        <v>1235.8721884666215</v>
      </c>
      <c r="I14" s="60">
        <f t="shared" si="4"/>
        <v>525.66463898633151</v>
      </c>
      <c r="J14" s="60">
        <f t="shared" si="4"/>
        <v>2607.0925946093439</v>
      </c>
      <c r="K14" s="60"/>
      <c r="L14" s="60">
        <f t="shared" si="4"/>
        <v>1344.1859375666158</v>
      </c>
      <c r="M14" s="60"/>
      <c r="N14" s="60">
        <f t="shared" si="4"/>
        <v>1344.1859375666158</v>
      </c>
      <c r="O14" s="60"/>
      <c r="P14" s="60">
        <f t="shared" si="4"/>
        <v>1567.1700533779001</v>
      </c>
      <c r="Q14" s="60"/>
      <c r="R14" s="60">
        <f t="shared" ref="R14" si="5">SUM(R9:R13)</f>
        <v>1567.1700533779001</v>
      </c>
      <c r="U14" s="48">
        <f>SUM(U10:U13)</f>
        <v>3547.6224000000002</v>
      </c>
    </row>
    <row r="15" spans="1:56" ht="15.6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  <c r="O15" s="59"/>
      <c r="P15" s="59"/>
      <c r="Q15" s="59"/>
      <c r="R15" s="59"/>
    </row>
    <row r="16" spans="1:56" ht="15.6" x14ac:dyDescent="0.3">
      <c r="A16" s="58">
        <v>1100</v>
      </c>
      <c r="B16" s="55" t="s">
        <v>25</v>
      </c>
      <c r="C16" s="60">
        <f t="shared" ref="C16:J25" si="6">$U16/$T$9*C$9</f>
        <v>63.679079444392343</v>
      </c>
      <c r="D16" s="60">
        <f t="shared" si="6"/>
        <v>95.568715093326048</v>
      </c>
      <c r="E16" s="60">
        <f t="shared" si="6"/>
        <v>36.57002651841367</v>
      </c>
      <c r="F16" s="60">
        <f t="shared" si="6"/>
        <v>195.81782105613206</v>
      </c>
      <c r="G16" s="60">
        <f t="shared" si="6"/>
        <v>481.6938052644594</v>
      </c>
      <c r="H16" s="60">
        <f t="shared" si="6"/>
        <v>704.04815436956949</v>
      </c>
      <c r="I16" s="60">
        <f t="shared" si="6"/>
        <v>299.45913691516665</v>
      </c>
      <c r="J16" s="60">
        <f t="shared" si="6"/>
        <v>1485.2010965491957</v>
      </c>
      <c r="K16" s="60"/>
      <c r="L16" s="60">
        <f t="shared" ref="L16:L34" si="7">$U16/$T$9*L$9</f>
        <v>765.7520229883097</v>
      </c>
      <c r="M16" s="60"/>
      <c r="N16" s="60">
        <f t="shared" ref="N16:N34" si="8">$U16/$T$9*N$9</f>
        <v>765.7520229883097</v>
      </c>
      <c r="O16" s="60"/>
      <c r="P16" s="60">
        <f t="shared" ref="P16:P34" si="9">$U16/$T$9*P$9</f>
        <v>892.78098007281903</v>
      </c>
      <c r="Q16" s="60"/>
      <c r="R16" s="60">
        <f t="shared" ref="R16:R34" si="10">$U16/$T$9*R$9</f>
        <v>892.78098007281903</v>
      </c>
      <c r="U16" s="43">
        <v>3357.2</v>
      </c>
      <c r="V16" s="52">
        <v>1100</v>
      </c>
      <c r="W16" s="30"/>
    </row>
    <row r="17" spans="1:23" ht="46.8" x14ac:dyDescent="0.3">
      <c r="A17" s="58">
        <v>1200</v>
      </c>
      <c r="B17" s="55" t="s">
        <v>26</v>
      </c>
      <c r="C17" s="60">
        <f t="shared" si="6"/>
        <v>15.021894840932154</v>
      </c>
      <c r="D17" s="60">
        <f t="shared" si="6"/>
        <v>22.544659890515618</v>
      </c>
      <c r="E17" s="60">
        <f t="shared" si="6"/>
        <v>8.6268692556937854</v>
      </c>
      <c r="F17" s="60">
        <f t="shared" si="6"/>
        <v>46.193423987141557</v>
      </c>
      <c r="G17" s="60">
        <f t="shared" si="6"/>
        <v>113.63156866188598</v>
      </c>
      <c r="H17" s="60">
        <f t="shared" si="6"/>
        <v>166.08495961578146</v>
      </c>
      <c r="I17" s="60">
        <f t="shared" si="6"/>
        <v>70.642410398287822</v>
      </c>
      <c r="J17" s="60">
        <f t="shared" si="6"/>
        <v>350.3589386759553</v>
      </c>
      <c r="K17" s="60"/>
      <c r="L17" s="60">
        <f t="shared" si="7"/>
        <v>180.64090222294229</v>
      </c>
      <c r="M17" s="60"/>
      <c r="N17" s="60">
        <f t="shared" si="8"/>
        <v>180.64090222294229</v>
      </c>
      <c r="O17" s="60"/>
      <c r="P17" s="60">
        <f t="shared" si="9"/>
        <v>210.60703319917803</v>
      </c>
      <c r="Q17" s="60"/>
      <c r="R17" s="60">
        <f t="shared" si="10"/>
        <v>210.60703319917803</v>
      </c>
      <c r="U17" s="43">
        <f>U16*0.2359</f>
        <v>791.96348</v>
      </c>
      <c r="V17" s="52">
        <v>1200</v>
      </c>
      <c r="W17" s="30"/>
    </row>
    <row r="18" spans="1:23" ht="15.6" x14ac:dyDescent="0.3">
      <c r="A18" s="58">
        <v>2210</v>
      </c>
      <c r="B18" s="55" t="s">
        <v>27</v>
      </c>
      <c r="C18" s="60">
        <f t="shared" si="6"/>
        <v>6.8284488859708226E-2</v>
      </c>
      <c r="D18" s="60">
        <f t="shared" si="6"/>
        <v>0.10248045226259199</v>
      </c>
      <c r="E18" s="60">
        <f t="shared" si="6"/>
        <v>3.9214850311655315E-2</v>
      </c>
      <c r="F18" s="60">
        <f t="shared" si="6"/>
        <v>0.20997979143395551</v>
      </c>
      <c r="G18" s="60">
        <f t="shared" si="6"/>
        <v>0.51653094809723998</v>
      </c>
      <c r="H18" s="60">
        <f t="shared" si="6"/>
        <v>0.75496644695890924</v>
      </c>
      <c r="I18" s="60">
        <f t="shared" si="6"/>
        <v>0.32111667249332776</v>
      </c>
      <c r="J18" s="60">
        <f t="shared" si="6"/>
        <v>1.5926140675494771</v>
      </c>
      <c r="K18" s="60"/>
      <c r="L18" s="60">
        <f t="shared" si="7"/>
        <v>0.82113287345344788</v>
      </c>
      <c r="M18" s="60"/>
      <c r="N18" s="60">
        <f t="shared" si="8"/>
        <v>0.82113287345344788</v>
      </c>
      <c r="O18" s="60"/>
      <c r="P18" s="60">
        <f t="shared" si="9"/>
        <v>0.95734884077866933</v>
      </c>
      <c r="Q18" s="60"/>
      <c r="R18" s="60">
        <f t="shared" si="10"/>
        <v>0.95734884077866933</v>
      </c>
      <c r="U18" s="46">
        <v>3.6</v>
      </c>
      <c r="V18" s="52">
        <v>2210</v>
      </c>
      <c r="W18" s="36" t="s">
        <v>108</v>
      </c>
    </row>
    <row r="19" spans="1:23" ht="15.6" x14ac:dyDescent="0.3">
      <c r="A19" s="58">
        <v>2221</v>
      </c>
      <c r="B19" s="55" t="s">
        <v>28</v>
      </c>
      <c r="C19" s="60">
        <f t="shared" si="6"/>
        <v>0</v>
      </c>
      <c r="D19" s="60">
        <f t="shared" si="6"/>
        <v>0</v>
      </c>
      <c r="E19" s="60">
        <f t="shared" si="6"/>
        <v>0</v>
      </c>
      <c r="F19" s="60">
        <f t="shared" si="6"/>
        <v>0</v>
      </c>
      <c r="G19" s="60">
        <f t="shared" si="6"/>
        <v>0</v>
      </c>
      <c r="H19" s="60">
        <f t="shared" si="6"/>
        <v>0</v>
      </c>
      <c r="I19" s="60">
        <f t="shared" si="6"/>
        <v>0</v>
      </c>
      <c r="J19" s="60">
        <f t="shared" si="6"/>
        <v>0</v>
      </c>
      <c r="K19" s="60"/>
      <c r="L19" s="60">
        <f t="shared" si="7"/>
        <v>0</v>
      </c>
      <c r="M19" s="60"/>
      <c r="N19" s="60">
        <f t="shared" si="8"/>
        <v>0</v>
      </c>
      <c r="O19" s="60"/>
      <c r="P19" s="60">
        <f t="shared" si="9"/>
        <v>0</v>
      </c>
      <c r="Q19" s="60"/>
      <c r="R19" s="60">
        <f t="shared" si="10"/>
        <v>0</v>
      </c>
      <c r="U19" s="46">
        <v>0</v>
      </c>
      <c r="V19" s="52">
        <v>2221</v>
      </c>
      <c r="W19" s="36" t="s">
        <v>89</v>
      </c>
    </row>
    <row r="20" spans="1:23" ht="15.6" x14ac:dyDescent="0.3">
      <c r="A20" s="58">
        <v>2224</v>
      </c>
      <c r="B20" s="55" t="s">
        <v>29</v>
      </c>
      <c r="C20" s="60">
        <f t="shared" si="6"/>
        <v>0.22761496286569405</v>
      </c>
      <c r="D20" s="60">
        <f t="shared" si="6"/>
        <v>0.34160150754197321</v>
      </c>
      <c r="E20" s="60">
        <f t="shared" si="6"/>
        <v>0.13071616770551769</v>
      </c>
      <c r="F20" s="60">
        <f t="shared" si="6"/>
        <v>0.69993263811318496</v>
      </c>
      <c r="G20" s="60">
        <f t="shared" si="6"/>
        <v>1.7217698269907995</v>
      </c>
      <c r="H20" s="60">
        <f t="shared" si="6"/>
        <v>2.5165548231963641</v>
      </c>
      <c r="I20" s="60">
        <f t="shared" si="6"/>
        <v>1.0703889083110925</v>
      </c>
      <c r="J20" s="60">
        <f t="shared" si="6"/>
        <v>5.3087135584982565</v>
      </c>
      <c r="K20" s="60"/>
      <c r="L20" s="60">
        <f t="shared" si="7"/>
        <v>2.7371095781781594</v>
      </c>
      <c r="M20" s="60"/>
      <c r="N20" s="60">
        <f t="shared" si="8"/>
        <v>2.7371095781781594</v>
      </c>
      <c r="O20" s="60"/>
      <c r="P20" s="60">
        <f t="shared" si="9"/>
        <v>3.1911628025955641</v>
      </c>
      <c r="Q20" s="60"/>
      <c r="R20" s="60">
        <f t="shared" si="10"/>
        <v>3.1911628025955641</v>
      </c>
      <c r="U20" s="46">
        <v>12</v>
      </c>
      <c r="V20" s="52">
        <v>2224</v>
      </c>
      <c r="W20" s="36" t="s">
        <v>90</v>
      </c>
    </row>
    <row r="21" spans="1:23" ht="15.6" x14ac:dyDescent="0.3">
      <c r="A21" s="58">
        <v>2234</v>
      </c>
      <c r="B21" s="55" t="s">
        <v>30</v>
      </c>
      <c r="C21" s="60">
        <f t="shared" si="6"/>
        <v>1.7071122214927055</v>
      </c>
      <c r="D21" s="60">
        <f t="shared" si="6"/>
        <v>2.5620113065647994</v>
      </c>
      <c r="E21" s="60">
        <f t="shared" si="6"/>
        <v>0.98037125779138279</v>
      </c>
      <c r="F21" s="60">
        <f t="shared" si="6"/>
        <v>5.2494947858488876</v>
      </c>
      <c r="G21" s="60">
        <f t="shared" si="6"/>
        <v>12.913273702430997</v>
      </c>
      <c r="H21" s="60">
        <f t="shared" si="6"/>
        <v>18.87416117397273</v>
      </c>
      <c r="I21" s="60">
        <f t="shared" si="6"/>
        <v>8.0279168123331939</v>
      </c>
      <c r="J21" s="60">
        <f t="shared" si="6"/>
        <v>39.815351688736925</v>
      </c>
      <c r="K21" s="60"/>
      <c r="L21" s="60">
        <f t="shared" si="7"/>
        <v>20.528321836336197</v>
      </c>
      <c r="M21" s="60"/>
      <c r="N21" s="60">
        <f t="shared" si="8"/>
        <v>20.528321836336197</v>
      </c>
      <c r="O21" s="60"/>
      <c r="P21" s="60">
        <f t="shared" si="9"/>
        <v>23.933721019466734</v>
      </c>
      <c r="Q21" s="60"/>
      <c r="R21" s="60">
        <f t="shared" si="10"/>
        <v>23.933721019466734</v>
      </c>
      <c r="U21" s="46">
        <f>3*30</f>
        <v>90</v>
      </c>
      <c r="V21" s="52">
        <v>2234</v>
      </c>
      <c r="W21" s="36" t="s">
        <v>91</v>
      </c>
    </row>
    <row r="22" spans="1:23" ht="15.6" x14ac:dyDescent="0.3">
      <c r="A22" s="58">
        <v>2235</v>
      </c>
      <c r="B22" s="55" t="s">
        <v>31</v>
      </c>
      <c r="C22" s="60">
        <f t="shared" si="6"/>
        <v>1.1380748143284702</v>
      </c>
      <c r="D22" s="60">
        <f t="shared" si="6"/>
        <v>1.7080075377098662</v>
      </c>
      <c r="E22" s="60">
        <f t="shared" si="6"/>
        <v>0.65358083852758853</v>
      </c>
      <c r="F22" s="60">
        <f t="shared" si="6"/>
        <v>3.4996631905659252</v>
      </c>
      <c r="G22" s="60">
        <f t="shared" si="6"/>
        <v>8.6088491349539993</v>
      </c>
      <c r="H22" s="60">
        <f t="shared" si="6"/>
        <v>12.58277411598182</v>
      </c>
      <c r="I22" s="60">
        <f t="shared" si="6"/>
        <v>5.3519445415554632</v>
      </c>
      <c r="J22" s="60">
        <f t="shared" si="6"/>
        <v>26.543567792491285</v>
      </c>
      <c r="K22" s="60"/>
      <c r="L22" s="60">
        <f t="shared" si="7"/>
        <v>13.685547890890797</v>
      </c>
      <c r="M22" s="60"/>
      <c r="N22" s="60">
        <f t="shared" si="8"/>
        <v>13.685547890890797</v>
      </c>
      <c r="O22" s="60"/>
      <c r="P22" s="60">
        <f t="shared" si="9"/>
        <v>15.955814012977822</v>
      </c>
      <c r="Q22" s="60"/>
      <c r="R22" s="60">
        <f t="shared" si="10"/>
        <v>15.955814012977822</v>
      </c>
      <c r="U22" s="46">
        <f>3*20</f>
        <v>60</v>
      </c>
      <c r="V22" s="52">
        <v>2235</v>
      </c>
      <c r="W22" s="36" t="s">
        <v>92</v>
      </c>
    </row>
    <row r="23" spans="1:23" ht="15.6" x14ac:dyDescent="0.3">
      <c r="A23" s="58">
        <v>2243</v>
      </c>
      <c r="B23" s="55" t="s">
        <v>32</v>
      </c>
      <c r="C23" s="60">
        <f t="shared" si="6"/>
        <v>0.88523252641182848</v>
      </c>
      <c r="D23" s="60">
        <f t="shared" si="6"/>
        <v>1.3285451964153243</v>
      </c>
      <c r="E23" s="60">
        <f t="shared" si="6"/>
        <v>0.5083769622347093</v>
      </c>
      <c r="F23" s="60">
        <f t="shared" si="6"/>
        <v>2.7221546850618621</v>
      </c>
      <c r="G23" s="60">
        <f t="shared" si="6"/>
        <v>6.6962498188050521</v>
      </c>
      <c r="H23" s="60">
        <f t="shared" si="6"/>
        <v>9.7873011332145268</v>
      </c>
      <c r="I23" s="60">
        <f t="shared" si="6"/>
        <v>4.1629208625732241</v>
      </c>
      <c r="J23" s="60">
        <f t="shared" si="6"/>
        <v>20.646471814592804</v>
      </c>
      <c r="K23" s="60"/>
      <c r="L23" s="60">
        <f t="shared" si="7"/>
        <v>10.645075334464558</v>
      </c>
      <c r="M23" s="60"/>
      <c r="N23" s="60">
        <f t="shared" si="8"/>
        <v>10.645075334464558</v>
      </c>
      <c r="O23" s="60"/>
      <c r="P23" s="60">
        <f t="shared" si="9"/>
        <v>12.410963999761249</v>
      </c>
      <c r="Q23" s="60"/>
      <c r="R23" s="60">
        <f t="shared" si="10"/>
        <v>12.410963999761249</v>
      </c>
      <c r="U23" s="46">
        <v>46.67</v>
      </c>
      <c r="V23" s="52">
        <v>2243</v>
      </c>
      <c r="W23" s="36" t="s">
        <v>93</v>
      </c>
    </row>
    <row r="24" spans="1:23" ht="15.6" x14ac:dyDescent="0.3">
      <c r="A24" s="58">
        <v>2244</v>
      </c>
      <c r="B24" s="55" t="s">
        <v>33</v>
      </c>
      <c r="C24" s="60">
        <f t="shared" si="6"/>
        <v>0.3679775232995387</v>
      </c>
      <c r="D24" s="60">
        <f t="shared" si="6"/>
        <v>0.55225577052619013</v>
      </c>
      <c r="E24" s="60">
        <f t="shared" si="6"/>
        <v>0.2113244711239203</v>
      </c>
      <c r="F24" s="60">
        <f t="shared" si="6"/>
        <v>1.1315577649496491</v>
      </c>
      <c r="G24" s="60">
        <f t="shared" si="6"/>
        <v>2.7835278869684594</v>
      </c>
      <c r="H24" s="60">
        <f t="shared" si="6"/>
        <v>4.0684302975007887</v>
      </c>
      <c r="I24" s="60">
        <f t="shared" si="6"/>
        <v>1.7304620684362662</v>
      </c>
      <c r="J24" s="60">
        <f t="shared" si="6"/>
        <v>8.5824202529055142</v>
      </c>
      <c r="K24" s="60"/>
      <c r="L24" s="60">
        <f t="shared" si="7"/>
        <v>4.4249938180546913</v>
      </c>
      <c r="M24" s="60"/>
      <c r="N24" s="60">
        <f t="shared" si="8"/>
        <v>4.4249938180546913</v>
      </c>
      <c r="O24" s="60"/>
      <c r="P24" s="60">
        <f t="shared" si="9"/>
        <v>5.1590465308628293</v>
      </c>
      <c r="Q24" s="60"/>
      <c r="R24" s="60">
        <f t="shared" si="10"/>
        <v>5.1590465308628293</v>
      </c>
      <c r="U24" s="46">
        <v>19.399999999999999</v>
      </c>
      <c r="V24" s="52">
        <v>2244</v>
      </c>
      <c r="W24" s="36" t="s">
        <v>94</v>
      </c>
    </row>
    <row r="25" spans="1:23" ht="15.6" x14ac:dyDescent="0.3">
      <c r="A25" s="58">
        <v>2247</v>
      </c>
      <c r="B25" s="55" t="s">
        <v>34</v>
      </c>
      <c r="C25" s="60">
        <f t="shared" si="6"/>
        <v>3.376288615841129E-2</v>
      </c>
      <c r="D25" s="60">
        <f t="shared" si="6"/>
        <v>5.0670890285392706E-2</v>
      </c>
      <c r="E25" s="60">
        <f t="shared" si="6"/>
        <v>1.9389564876318464E-2</v>
      </c>
      <c r="F25" s="60">
        <f t="shared" si="6"/>
        <v>0.10382334132012246</v>
      </c>
      <c r="G25" s="60">
        <f t="shared" si="6"/>
        <v>0.25539585767030198</v>
      </c>
      <c r="H25" s="60">
        <f t="shared" si="6"/>
        <v>0.37328896544079404</v>
      </c>
      <c r="I25" s="60">
        <f t="shared" si="6"/>
        <v>0.15877435473281207</v>
      </c>
      <c r="J25" s="60">
        <f t="shared" si="6"/>
        <v>0.78745917784390818</v>
      </c>
      <c r="K25" s="60"/>
      <c r="L25" s="60">
        <f t="shared" si="7"/>
        <v>0.40600458742976037</v>
      </c>
      <c r="M25" s="60"/>
      <c r="N25" s="60">
        <f t="shared" si="8"/>
        <v>0.40600458742976037</v>
      </c>
      <c r="O25" s="60"/>
      <c r="P25" s="60">
        <f t="shared" si="9"/>
        <v>0.47335581571834207</v>
      </c>
      <c r="Q25" s="60"/>
      <c r="R25" s="60">
        <f t="shared" si="10"/>
        <v>0.47335581571834207</v>
      </c>
      <c r="U25" s="46">
        <v>1.78</v>
      </c>
      <c r="V25" s="52">
        <v>2247</v>
      </c>
      <c r="W25" s="36" t="s">
        <v>95</v>
      </c>
    </row>
    <row r="26" spans="1:23" ht="15.6" x14ac:dyDescent="0.3">
      <c r="A26" s="58">
        <v>2251</v>
      </c>
      <c r="B26" s="55" t="s">
        <v>35</v>
      </c>
      <c r="C26" s="60">
        <f t="shared" ref="C26:J34" si="11">$U26/$T$9*C$9</f>
        <v>0</v>
      </c>
      <c r="D26" s="60">
        <f t="shared" si="11"/>
        <v>0</v>
      </c>
      <c r="E26" s="60">
        <f t="shared" si="11"/>
        <v>0</v>
      </c>
      <c r="F26" s="60">
        <f t="shared" si="11"/>
        <v>0</v>
      </c>
      <c r="G26" s="60">
        <f t="shared" si="11"/>
        <v>0</v>
      </c>
      <c r="H26" s="60">
        <f t="shared" si="11"/>
        <v>0</v>
      </c>
      <c r="I26" s="60">
        <f t="shared" si="11"/>
        <v>0</v>
      </c>
      <c r="J26" s="60">
        <f t="shared" si="11"/>
        <v>0</v>
      </c>
      <c r="K26" s="60"/>
      <c r="L26" s="60">
        <f t="shared" si="7"/>
        <v>0</v>
      </c>
      <c r="M26" s="60"/>
      <c r="N26" s="60">
        <f t="shared" si="8"/>
        <v>0</v>
      </c>
      <c r="O26" s="60"/>
      <c r="P26" s="60">
        <f t="shared" si="9"/>
        <v>0</v>
      </c>
      <c r="Q26" s="60"/>
      <c r="R26" s="60">
        <f t="shared" si="10"/>
        <v>0</v>
      </c>
      <c r="U26" s="46">
        <v>0</v>
      </c>
      <c r="V26" s="52">
        <v>2251</v>
      </c>
      <c r="W26" s="36" t="s">
        <v>96</v>
      </c>
    </row>
    <row r="27" spans="1:23" ht="15.6" x14ac:dyDescent="0.3">
      <c r="A27" s="58">
        <v>2311</v>
      </c>
      <c r="B27" s="55" t="s">
        <v>36</v>
      </c>
      <c r="C27" s="60">
        <f t="shared" si="11"/>
        <v>7.4354221202793391E-2</v>
      </c>
      <c r="D27" s="60">
        <f t="shared" si="11"/>
        <v>0.1115898257970446</v>
      </c>
      <c r="E27" s="60">
        <f t="shared" si="11"/>
        <v>4.2700614783802451E-2</v>
      </c>
      <c r="F27" s="60">
        <f t="shared" si="11"/>
        <v>0.22864466178364046</v>
      </c>
      <c r="G27" s="60">
        <f t="shared" si="11"/>
        <v>0.56244481015032788</v>
      </c>
      <c r="H27" s="60">
        <f t="shared" si="11"/>
        <v>0.82207457557747898</v>
      </c>
      <c r="I27" s="60">
        <f t="shared" si="11"/>
        <v>0.34966037671495692</v>
      </c>
      <c r="J27" s="60">
        <f t="shared" si="11"/>
        <v>1.734179762442764</v>
      </c>
      <c r="K27" s="60"/>
      <c r="L27" s="60">
        <f t="shared" si="7"/>
        <v>0.89412246220486546</v>
      </c>
      <c r="M27" s="60"/>
      <c r="N27" s="60">
        <f t="shared" si="8"/>
        <v>0.89412246220486546</v>
      </c>
      <c r="O27" s="60"/>
      <c r="P27" s="60">
        <f t="shared" si="9"/>
        <v>1.042446515514551</v>
      </c>
      <c r="Q27" s="60"/>
      <c r="R27" s="60">
        <f t="shared" si="10"/>
        <v>1.042446515514551</v>
      </c>
      <c r="U27" s="46">
        <v>3.92</v>
      </c>
      <c r="V27" s="52">
        <v>2311</v>
      </c>
      <c r="W27" s="36" t="s">
        <v>97</v>
      </c>
    </row>
    <row r="28" spans="1:23" ht="15.6" x14ac:dyDescent="0.3">
      <c r="A28" s="58">
        <v>2312</v>
      </c>
      <c r="B28" s="55" t="s">
        <v>37</v>
      </c>
      <c r="C28" s="60">
        <f t="shared" si="11"/>
        <v>0.13998320216240184</v>
      </c>
      <c r="D28" s="60">
        <f t="shared" si="11"/>
        <v>0.21008492713831356</v>
      </c>
      <c r="E28" s="60">
        <f t="shared" si="11"/>
        <v>8.0390443138893389E-2</v>
      </c>
      <c r="F28" s="60">
        <f t="shared" si="11"/>
        <v>0.43045857243960878</v>
      </c>
      <c r="G28" s="60">
        <f t="shared" si="11"/>
        <v>1.0588884435993418</v>
      </c>
      <c r="H28" s="60">
        <f t="shared" si="11"/>
        <v>1.5476812162657638</v>
      </c>
      <c r="I28" s="60">
        <f t="shared" si="11"/>
        <v>0.65828917861132186</v>
      </c>
      <c r="J28" s="60">
        <f t="shared" si="11"/>
        <v>3.2648588384764281</v>
      </c>
      <c r="K28" s="60"/>
      <c r="L28" s="60">
        <f t="shared" si="7"/>
        <v>1.683322390579568</v>
      </c>
      <c r="M28" s="60"/>
      <c r="N28" s="60">
        <f t="shared" si="8"/>
        <v>1.683322390579568</v>
      </c>
      <c r="O28" s="60"/>
      <c r="P28" s="60">
        <f t="shared" si="9"/>
        <v>1.962565123596272</v>
      </c>
      <c r="Q28" s="60"/>
      <c r="R28" s="60">
        <f t="shared" si="10"/>
        <v>1.962565123596272</v>
      </c>
      <c r="U28" s="46">
        <v>7.38</v>
      </c>
      <c r="V28" s="52">
        <v>2312</v>
      </c>
      <c r="W28" s="36" t="s">
        <v>98</v>
      </c>
    </row>
    <row r="29" spans="1:23" ht="15.6" x14ac:dyDescent="0.3">
      <c r="A29" s="58">
        <v>2321</v>
      </c>
      <c r="B29" s="55" t="s">
        <v>38</v>
      </c>
      <c r="C29" s="60">
        <f t="shared" si="11"/>
        <v>6.8066357853628592</v>
      </c>
      <c r="D29" s="60">
        <f t="shared" si="11"/>
        <v>10.215308415119759</v>
      </c>
      <c r="E29" s="60">
        <f t="shared" si="11"/>
        <v>3.9089580650937528</v>
      </c>
      <c r="F29" s="60">
        <f t="shared" si="11"/>
        <v>20.930902265576371</v>
      </c>
      <c r="G29" s="60">
        <f t="shared" si="11"/>
        <v>51.488091867970709</v>
      </c>
      <c r="H29" s="60">
        <f t="shared" si="11"/>
        <v>75.255474858667938</v>
      </c>
      <c r="I29" s="60">
        <f t="shared" si="11"/>
        <v>32.009088312286295</v>
      </c>
      <c r="J29" s="60">
        <f t="shared" si="11"/>
        <v>158.75265503892496</v>
      </c>
      <c r="K29" s="60"/>
      <c r="L29" s="60">
        <f t="shared" si="7"/>
        <v>81.850981010769374</v>
      </c>
      <c r="M29" s="60"/>
      <c r="N29" s="60">
        <f t="shared" si="8"/>
        <v>81.850981010769374</v>
      </c>
      <c r="O29" s="60"/>
      <c r="P29" s="60">
        <f t="shared" si="9"/>
        <v>95.429064309284854</v>
      </c>
      <c r="Q29" s="60"/>
      <c r="R29" s="60">
        <f t="shared" si="10"/>
        <v>95.429064309284854</v>
      </c>
      <c r="U29" s="46">
        <v>358.85</v>
      </c>
      <c r="V29" s="52">
        <v>2321</v>
      </c>
      <c r="W29" s="36" t="s">
        <v>99</v>
      </c>
    </row>
    <row r="30" spans="1:23" ht="15.6" x14ac:dyDescent="0.3">
      <c r="A30" s="58">
        <v>2341</v>
      </c>
      <c r="B30" s="55" t="s">
        <v>39</v>
      </c>
      <c r="C30" s="60">
        <f t="shared" si="11"/>
        <v>1.8967913572141171E-3</v>
      </c>
      <c r="D30" s="60">
        <f t="shared" si="11"/>
        <v>2.846679229516444E-3</v>
      </c>
      <c r="E30" s="60">
        <f t="shared" si="11"/>
        <v>1.0893013975459809E-3</v>
      </c>
      <c r="F30" s="60">
        <f t="shared" si="11"/>
        <v>5.8327719842765418E-3</v>
      </c>
      <c r="G30" s="60">
        <f t="shared" si="11"/>
        <v>1.4348081891589998E-2</v>
      </c>
      <c r="H30" s="60">
        <f t="shared" si="11"/>
        <v>2.0971290193303033E-2</v>
      </c>
      <c r="I30" s="60">
        <f t="shared" si="11"/>
        <v>8.9199075692591046E-3</v>
      </c>
      <c r="J30" s="60">
        <f t="shared" si="11"/>
        <v>4.4239279654152142E-2</v>
      </c>
      <c r="K30" s="60"/>
      <c r="L30" s="60">
        <f t="shared" si="7"/>
        <v>2.2809246484817997E-2</v>
      </c>
      <c r="M30" s="60"/>
      <c r="N30" s="60">
        <f t="shared" si="8"/>
        <v>2.2809246484817997E-2</v>
      </c>
      <c r="O30" s="60"/>
      <c r="P30" s="60">
        <f t="shared" si="9"/>
        <v>2.6593023354963038E-2</v>
      </c>
      <c r="Q30" s="60"/>
      <c r="R30" s="60">
        <f t="shared" si="10"/>
        <v>2.6593023354963038E-2</v>
      </c>
      <c r="U30" s="46">
        <v>0.1</v>
      </c>
      <c r="V30" s="52" t="s">
        <v>104</v>
      </c>
      <c r="W30" s="36" t="s">
        <v>100</v>
      </c>
    </row>
    <row r="31" spans="1:23" ht="15.6" x14ac:dyDescent="0.3">
      <c r="A31" s="58">
        <v>2351</v>
      </c>
      <c r="B31" s="55" t="s">
        <v>40</v>
      </c>
      <c r="C31" s="60">
        <f t="shared" si="11"/>
        <v>0.29020907765375997</v>
      </c>
      <c r="D31" s="60">
        <f t="shared" si="11"/>
        <v>0.43554192211601594</v>
      </c>
      <c r="E31" s="60">
        <f t="shared" si="11"/>
        <v>0.16666311382453511</v>
      </c>
      <c r="F31" s="60">
        <f t="shared" si="11"/>
        <v>0.892414113594311</v>
      </c>
      <c r="G31" s="60">
        <f t="shared" si="11"/>
        <v>2.1952565294132698</v>
      </c>
      <c r="H31" s="60">
        <f t="shared" si="11"/>
        <v>3.2086073995753646</v>
      </c>
      <c r="I31" s="60">
        <f t="shared" si="11"/>
        <v>1.3647458580966432</v>
      </c>
      <c r="J31" s="60">
        <f t="shared" si="11"/>
        <v>6.7686097870852784</v>
      </c>
      <c r="K31" s="60"/>
      <c r="L31" s="60">
        <f t="shared" si="7"/>
        <v>3.4898147121771537</v>
      </c>
      <c r="M31" s="60"/>
      <c r="N31" s="60">
        <f t="shared" si="8"/>
        <v>3.4898147121771537</v>
      </c>
      <c r="O31" s="60"/>
      <c r="P31" s="60">
        <f t="shared" si="9"/>
        <v>4.0687325733093447</v>
      </c>
      <c r="Q31" s="60"/>
      <c r="R31" s="60">
        <f t="shared" si="10"/>
        <v>4.0687325733093447</v>
      </c>
      <c r="U31" s="46">
        <v>15.3</v>
      </c>
      <c r="V31" s="52" t="s">
        <v>102</v>
      </c>
      <c r="W31" s="36" t="s">
        <v>97</v>
      </c>
    </row>
    <row r="32" spans="1:23" ht="15.6" x14ac:dyDescent="0.3">
      <c r="A32" s="58">
        <v>2352</v>
      </c>
      <c r="B32" s="55" t="s">
        <v>41</v>
      </c>
      <c r="C32" s="60">
        <f t="shared" si="11"/>
        <v>0.16122726536319995</v>
      </c>
      <c r="D32" s="60">
        <f t="shared" si="11"/>
        <v>0.24196773450889772</v>
      </c>
      <c r="E32" s="60">
        <f t="shared" si="11"/>
        <v>9.2590618791408383E-2</v>
      </c>
      <c r="F32" s="60">
        <f t="shared" si="11"/>
        <v>0.49578561866350607</v>
      </c>
      <c r="G32" s="60">
        <f t="shared" si="11"/>
        <v>1.2195869607851497</v>
      </c>
      <c r="H32" s="60">
        <f t="shared" si="11"/>
        <v>1.7825596664307579</v>
      </c>
      <c r="I32" s="60">
        <f t="shared" si="11"/>
        <v>0.7581921433870239</v>
      </c>
      <c r="J32" s="60">
        <f t="shared" si="11"/>
        <v>3.7603387706029316</v>
      </c>
      <c r="K32" s="60"/>
      <c r="L32" s="60">
        <f t="shared" si="7"/>
        <v>1.9387859512095296</v>
      </c>
      <c r="M32" s="60"/>
      <c r="N32" s="60">
        <f t="shared" si="8"/>
        <v>1.9387859512095296</v>
      </c>
      <c r="O32" s="60"/>
      <c r="P32" s="60">
        <f t="shared" si="9"/>
        <v>2.260406985171858</v>
      </c>
      <c r="Q32" s="60"/>
      <c r="R32" s="60">
        <f t="shared" si="10"/>
        <v>2.260406985171858</v>
      </c>
      <c r="U32" s="46">
        <v>8.5</v>
      </c>
      <c r="V32" s="52" t="s">
        <v>103</v>
      </c>
      <c r="W32" s="36" t="s">
        <v>98</v>
      </c>
    </row>
    <row r="33" spans="1:23" ht="15.6" x14ac:dyDescent="0.3">
      <c r="A33" s="58">
        <v>2362</v>
      </c>
      <c r="B33" s="55" t="s">
        <v>42</v>
      </c>
      <c r="C33" s="60">
        <f t="shared" si="11"/>
        <v>0.51061623336204043</v>
      </c>
      <c r="D33" s="60">
        <f t="shared" si="11"/>
        <v>0.76632604858582676</v>
      </c>
      <c r="E33" s="60">
        <f t="shared" si="11"/>
        <v>0.29323993621937811</v>
      </c>
      <c r="F33" s="60">
        <f t="shared" si="11"/>
        <v>1.5701822181672453</v>
      </c>
      <c r="G33" s="60">
        <f t="shared" si="11"/>
        <v>3.8625036452160275</v>
      </c>
      <c r="H33" s="60">
        <f t="shared" si="11"/>
        <v>5.6454713200371778</v>
      </c>
      <c r="I33" s="60">
        <f t="shared" si="11"/>
        <v>2.4012391176445513</v>
      </c>
      <c r="J33" s="60">
        <f t="shared" si="11"/>
        <v>11.909214082897757</v>
      </c>
      <c r="K33" s="60"/>
      <c r="L33" s="60">
        <f t="shared" si="7"/>
        <v>6.1402491537130048</v>
      </c>
      <c r="M33" s="60"/>
      <c r="N33" s="60">
        <f t="shared" si="8"/>
        <v>6.1402491537130048</v>
      </c>
      <c r="O33" s="60"/>
      <c r="P33" s="60">
        <f t="shared" si="9"/>
        <v>7.1588418871560497</v>
      </c>
      <c r="Q33" s="60"/>
      <c r="R33" s="60">
        <f t="shared" si="10"/>
        <v>7.1588418871560497</v>
      </c>
      <c r="U33" s="46">
        <v>26.92</v>
      </c>
      <c r="V33" s="52">
        <v>2362</v>
      </c>
      <c r="W33" s="36" t="s">
        <v>101</v>
      </c>
    </row>
    <row r="34" spans="1:23" ht="15.6" x14ac:dyDescent="0.3">
      <c r="A34" s="58" t="s">
        <v>13</v>
      </c>
      <c r="B34" s="55" t="s">
        <v>43</v>
      </c>
      <c r="C34" s="60">
        <f t="shared" si="11"/>
        <v>1.1357986646998135</v>
      </c>
      <c r="D34" s="60">
        <f t="shared" si="11"/>
        <v>1.7045915226344468</v>
      </c>
      <c r="E34" s="60">
        <f t="shared" si="11"/>
        <v>0.65227367685053339</v>
      </c>
      <c r="F34" s="60">
        <f t="shared" si="11"/>
        <v>3.4926638641847938</v>
      </c>
      <c r="G34" s="60">
        <f t="shared" si="11"/>
        <v>8.5916314366840911</v>
      </c>
      <c r="H34" s="60">
        <f t="shared" si="11"/>
        <v>12.557608567749858</v>
      </c>
      <c r="I34" s="60">
        <f t="shared" si="11"/>
        <v>5.3412406524723526</v>
      </c>
      <c r="J34" s="60">
        <f t="shared" si="11"/>
        <v>26.490480656906303</v>
      </c>
      <c r="K34" s="60"/>
      <c r="L34" s="60">
        <f t="shared" si="7"/>
        <v>13.658176795109016</v>
      </c>
      <c r="M34" s="60"/>
      <c r="N34" s="60">
        <f t="shared" si="8"/>
        <v>13.658176795109016</v>
      </c>
      <c r="O34" s="60"/>
      <c r="P34" s="60">
        <f t="shared" si="9"/>
        <v>15.923902384951868</v>
      </c>
      <c r="Q34" s="60"/>
      <c r="R34" s="60">
        <f t="shared" si="10"/>
        <v>15.923902384951868</v>
      </c>
      <c r="U34" s="46">
        <v>59.88</v>
      </c>
      <c r="V34" s="46">
        <v>5239</v>
      </c>
      <c r="W34" s="36" t="s">
        <v>43</v>
      </c>
    </row>
    <row r="35" spans="1:23" ht="15.6" x14ac:dyDescent="0.3">
      <c r="A35" s="56"/>
      <c r="B35" s="61" t="s">
        <v>44</v>
      </c>
      <c r="C35" s="60">
        <f>SUM(C16:C34)</f>
        <v>92.24975494990494</v>
      </c>
      <c r="D35" s="60">
        <f t="shared" ref="D35:R35" si="12">SUM(D16:D34)</f>
        <v>138.4472047202776</v>
      </c>
      <c r="E35" s="60">
        <f t="shared" si="12"/>
        <v>52.977775656778398</v>
      </c>
      <c r="F35" s="60">
        <f t="shared" si="12"/>
        <v>283.67473532696101</v>
      </c>
      <c r="G35" s="60">
        <f t="shared" si="12"/>
        <v>697.81372287797296</v>
      </c>
      <c r="H35" s="60">
        <f t="shared" si="12"/>
        <v>1019.9310398361146</v>
      </c>
      <c r="I35" s="60">
        <f t="shared" si="12"/>
        <v>433.81644708067222</v>
      </c>
      <c r="J35" s="60">
        <f t="shared" si="12"/>
        <v>2151.5612097947592</v>
      </c>
      <c r="K35" s="60"/>
      <c r="L35" s="60">
        <f t="shared" si="12"/>
        <v>1109.319372852307</v>
      </c>
      <c r="M35" s="60"/>
      <c r="N35" s="60">
        <f t="shared" si="12"/>
        <v>1109.319372852307</v>
      </c>
      <c r="O35" s="60"/>
      <c r="P35" s="60">
        <f t="shared" si="12"/>
        <v>1293.3419790964977</v>
      </c>
      <c r="Q35" s="60"/>
      <c r="R35" s="60">
        <f t="shared" si="12"/>
        <v>1293.3419790964977</v>
      </c>
    </row>
    <row r="36" spans="1:23" ht="22.5" customHeight="1" x14ac:dyDescent="0.3">
      <c r="A36" s="55"/>
      <c r="B36" s="55" t="s">
        <v>45</v>
      </c>
      <c r="C36" s="60">
        <f>C14+C35</f>
        <v>204.030750019697</v>
      </c>
      <c r="D36" s="60">
        <f t="shared" ref="D36:R36" si="13">D14+D35</f>
        <v>306.20663472275044</v>
      </c>
      <c r="E36" s="60">
        <f t="shared" si="13"/>
        <v>117.17207603963266</v>
      </c>
      <c r="F36" s="60">
        <f t="shared" si="13"/>
        <v>627.40946078208015</v>
      </c>
      <c r="G36" s="60">
        <f t="shared" si="13"/>
        <v>1543.3694900343635</v>
      </c>
      <c r="H36" s="60">
        <f t="shared" si="13"/>
        <v>2255.803228302736</v>
      </c>
      <c r="I36" s="60">
        <f t="shared" si="13"/>
        <v>959.48108606700373</v>
      </c>
      <c r="J36" s="60">
        <f t="shared" si="13"/>
        <v>4758.6538044041026</v>
      </c>
      <c r="K36" s="60"/>
      <c r="L36" s="60">
        <f t="shared" si="13"/>
        <v>2453.5053104189228</v>
      </c>
      <c r="M36" s="60"/>
      <c r="N36" s="60">
        <f t="shared" si="13"/>
        <v>2453.5053104189228</v>
      </c>
      <c r="O36" s="60"/>
      <c r="P36" s="60">
        <f t="shared" si="13"/>
        <v>2860.5120324743975</v>
      </c>
      <c r="Q36" s="60"/>
      <c r="R36" s="60">
        <f t="shared" si="13"/>
        <v>2860.5120324743975</v>
      </c>
    </row>
    <row r="37" spans="1:23" ht="28.5" customHeight="1" x14ac:dyDescent="0.3">
      <c r="A37" s="55"/>
      <c r="B37" s="55" t="s">
        <v>46</v>
      </c>
      <c r="C37" s="62">
        <v>96</v>
      </c>
      <c r="D37" s="62">
        <v>96</v>
      </c>
      <c r="E37" s="62">
        <v>96</v>
      </c>
      <c r="F37" s="62" t="s">
        <v>47</v>
      </c>
      <c r="G37" s="62">
        <v>537</v>
      </c>
      <c r="H37" s="62">
        <v>537</v>
      </c>
      <c r="I37" s="62">
        <v>537</v>
      </c>
      <c r="J37" s="62" t="s">
        <v>47</v>
      </c>
      <c r="K37" s="81"/>
      <c r="L37" s="81">
        <v>432</v>
      </c>
      <c r="M37" s="81"/>
      <c r="N37" s="81" t="s">
        <v>47</v>
      </c>
      <c r="O37" s="81"/>
      <c r="P37" s="81">
        <v>421</v>
      </c>
      <c r="Q37" s="81"/>
      <c r="R37" s="81" t="s">
        <v>47</v>
      </c>
    </row>
    <row r="38" spans="1:23" ht="47.25" customHeight="1" x14ac:dyDescent="0.3">
      <c r="A38" s="55"/>
      <c r="B38" s="55" t="s">
        <v>123</v>
      </c>
      <c r="C38" s="60">
        <f>C14/C37</f>
        <v>1.1643853653103338</v>
      </c>
      <c r="D38" s="60">
        <f t="shared" ref="D38:E38" si="14">D14/D37</f>
        <v>1.7474940625257585</v>
      </c>
      <c r="E38" s="60">
        <f t="shared" si="14"/>
        <v>0.66869062898806531</v>
      </c>
      <c r="F38" s="60">
        <f>SUM(C38:E38)</f>
        <v>3.5805700568241576</v>
      </c>
      <c r="G38" s="60">
        <f>G14/G37</f>
        <v>1.5745917451701872</v>
      </c>
      <c r="H38" s="60">
        <f t="shared" ref="H38:I38" si="15">H14/H37</f>
        <v>2.3014379673493885</v>
      </c>
      <c r="I38" s="60">
        <f t="shared" si="15"/>
        <v>0.97889132027249814</v>
      </c>
      <c r="J38" s="60">
        <f>SUM(G38:I38)</f>
        <v>4.854921032792074</v>
      </c>
      <c r="K38" s="60"/>
      <c r="L38" s="63">
        <f>L14/L37</f>
        <v>3.1115415221449441</v>
      </c>
      <c r="M38" s="60"/>
      <c r="N38" s="60">
        <f>SUM(K38:M38)</f>
        <v>3.1115415221449441</v>
      </c>
      <c r="O38" s="60"/>
      <c r="P38" s="63">
        <f>P14/P37</f>
        <v>3.7224941885460812</v>
      </c>
      <c r="Q38" s="60"/>
      <c r="R38" s="60">
        <f>SUM(O38:Q38)</f>
        <v>3.7224941885460812</v>
      </c>
    </row>
    <row r="39" spans="1:23" ht="41.25" customHeight="1" x14ac:dyDescent="0.3">
      <c r="A39" s="55"/>
      <c r="B39" s="55" t="s">
        <v>125</v>
      </c>
      <c r="C39" s="59">
        <f>C9/C37</f>
        <v>0.4634375</v>
      </c>
      <c r="D39" s="59">
        <f>D9/D37</f>
        <v>0.69552083333333325</v>
      </c>
      <c r="E39" s="59">
        <f>E9/E37</f>
        <v>0.26614583333333336</v>
      </c>
      <c r="F39" s="59">
        <f>SUM(C39:E39)</f>
        <v>1.4251041666666666</v>
      </c>
      <c r="G39" s="59">
        <f>G9/G37</f>
        <v>0.62670391061452513</v>
      </c>
      <c r="H39" s="59">
        <f>H9/H37</f>
        <v>0.91599627560521413</v>
      </c>
      <c r="I39" s="59">
        <f>I9/I37</f>
        <v>0.38960893854748602</v>
      </c>
      <c r="J39" s="59">
        <f>G39+H39+I39</f>
        <v>1.9323091247672251</v>
      </c>
      <c r="K39" s="59"/>
      <c r="L39" s="59">
        <f>L9/L37</f>
        <v>1.2384259259259258</v>
      </c>
      <c r="M39" s="59"/>
      <c r="N39" s="59">
        <f>SUM(K39:M39)</f>
        <v>1.2384259259259258</v>
      </c>
      <c r="O39" s="59"/>
      <c r="P39" s="59">
        <f>P9/P37</f>
        <v>1.4815914489311164</v>
      </c>
      <c r="Q39" s="59"/>
      <c r="R39" s="59">
        <f>SUM(O39:Q39)</f>
        <v>1.4815914489311164</v>
      </c>
    </row>
  </sheetData>
  <mergeCells count="6">
    <mergeCell ref="K1:R1"/>
    <mergeCell ref="A6:B6"/>
    <mergeCell ref="G6:J6"/>
    <mergeCell ref="C6:F6"/>
    <mergeCell ref="K6:N6"/>
    <mergeCell ref="O6:R6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C720-3109-4E61-9066-40B652D04428}">
  <sheetPr>
    <pageSetUpPr fitToPage="1"/>
  </sheetPr>
  <dimension ref="A1:CC39"/>
  <sheetViews>
    <sheetView topLeftCell="A28" workbookViewId="0">
      <selection activeCell="L1" sqref="L1:R1"/>
    </sheetView>
  </sheetViews>
  <sheetFormatPr defaultColWidth="9.109375" defaultRowHeight="15.6" x14ac:dyDescent="0.3"/>
  <cols>
    <col min="1" max="1" width="11.109375" style="65" customWidth="1"/>
    <col min="2" max="2" width="42.6640625" style="65" customWidth="1"/>
    <col min="3" max="5" width="10.44140625" style="71" customWidth="1"/>
    <col min="6" max="6" width="11" style="71" customWidth="1"/>
    <col min="7" max="7" width="12.33203125" style="71" customWidth="1"/>
    <col min="8" max="8" width="11.88671875" style="71" customWidth="1"/>
    <col min="9" max="9" width="10.6640625" style="71" customWidth="1"/>
    <col min="10" max="11" width="10.44140625" style="71" customWidth="1"/>
    <col min="12" max="12" width="10.44140625" style="71" bestFit="1" customWidth="1"/>
    <col min="13" max="13" width="10" style="71" customWidth="1"/>
    <col min="14" max="17" width="9.109375" style="70"/>
    <col min="18" max="18" width="12.109375" style="70" customWidth="1"/>
    <col min="19" max="19" width="9.109375" style="68" hidden="1" customWidth="1"/>
    <col min="20" max="20" width="11.44140625" style="68" hidden="1" customWidth="1"/>
    <col min="21" max="21" width="9.5546875" style="68" hidden="1" customWidth="1"/>
    <col min="22" max="22" width="26.33203125" style="68" hidden="1" customWidth="1"/>
    <col min="23" max="23" width="9.109375" style="68" customWidth="1"/>
    <col min="24" max="27" width="9.109375" style="68"/>
    <col min="28" max="81" width="9.109375" style="69"/>
    <col min="82" max="16384" width="9.109375" style="70"/>
  </cols>
  <sheetData>
    <row r="1" spans="1:21" ht="53.25" customHeight="1" x14ac:dyDescent="0.3">
      <c r="A1" s="66"/>
      <c r="B1" s="97"/>
      <c r="C1" s="97"/>
      <c r="D1" s="97"/>
      <c r="E1" s="97"/>
      <c r="F1" s="97"/>
      <c r="G1" s="97"/>
      <c r="H1" s="97"/>
      <c r="I1" s="97"/>
      <c r="J1" s="97"/>
      <c r="K1" s="97"/>
      <c r="L1" s="14" t="s">
        <v>130</v>
      </c>
      <c r="M1" s="14"/>
      <c r="N1" s="14"/>
      <c r="O1" s="14"/>
      <c r="P1" s="14"/>
      <c r="Q1" s="14"/>
      <c r="R1" s="14"/>
    </row>
    <row r="2" spans="1:21" x14ac:dyDescent="0.3">
      <c r="F2" s="66"/>
      <c r="G2" s="66"/>
      <c r="H2" s="66"/>
      <c r="I2" s="66"/>
      <c r="J2" s="66"/>
      <c r="K2" s="66"/>
      <c r="L2" s="66"/>
    </row>
    <row r="3" spans="1:21" x14ac:dyDescent="0.3">
      <c r="A3" s="64" t="s">
        <v>14</v>
      </c>
    </row>
    <row r="4" spans="1:21" x14ac:dyDescent="0.3">
      <c r="A4" s="16" t="s">
        <v>126</v>
      </c>
      <c r="B4" s="16"/>
      <c r="C4" s="65"/>
      <c r="L4" s="16"/>
    </row>
    <row r="5" spans="1:21" ht="20.25" customHeight="1" x14ac:dyDescent="0.3">
      <c r="A5" s="16"/>
      <c r="B5" s="98"/>
      <c r="D5" s="99"/>
      <c r="E5" s="99"/>
      <c r="F5" s="99"/>
      <c r="K5" s="16"/>
    </row>
    <row r="6" spans="1:21" ht="26.25" customHeight="1" x14ac:dyDescent="0.3">
      <c r="A6" s="9" t="s">
        <v>113</v>
      </c>
      <c r="B6" s="8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K6" s="11" t="s">
        <v>51</v>
      </c>
      <c r="L6" s="11"/>
      <c r="M6" s="11"/>
      <c r="N6" s="11"/>
      <c r="O6" s="10" t="s">
        <v>52</v>
      </c>
      <c r="P6" s="10"/>
      <c r="Q6" s="10"/>
      <c r="R6" s="10"/>
      <c r="T6" s="100" t="s">
        <v>79</v>
      </c>
      <c r="U6" s="100" t="s">
        <v>80</v>
      </c>
    </row>
    <row r="7" spans="1:21" ht="26.25" customHeight="1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  <c r="O7" s="57" t="s">
        <v>1</v>
      </c>
      <c r="P7" s="57" t="s">
        <v>2</v>
      </c>
      <c r="Q7" s="57" t="s">
        <v>3</v>
      </c>
      <c r="R7" s="57" t="s">
        <v>4</v>
      </c>
    </row>
    <row r="8" spans="1:21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21" x14ac:dyDescent="0.3">
      <c r="A9" s="58">
        <v>2363</v>
      </c>
      <c r="B9" s="55" t="s">
        <v>18</v>
      </c>
      <c r="C9" s="59">
        <v>138.1</v>
      </c>
      <c r="D9" s="59">
        <v>263.97000000000003</v>
      </c>
      <c r="E9" s="59">
        <v>99.46</v>
      </c>
      <c r="F9" s="59">
        <f>C9+D9+E9</f>
        <v>501.53000000000003</v>
      </c>
      <c r="G9" s="59">
        <v>701.92</v>
      </c>
      <c r="H9" s="59">
        <v>1635.28</v>
      </c>
      <c r="I9" s="59">
        <v>559</v>
      </c>
      <c r="J9" s="59">
        <f>SUM(G9:I9)</f>
        <v>2896.2</v>
      </c>
      <c r="K9" s="59"/>
      <c r="L9" s="59">
        <v>1.24</v>
      </c>
      <c r="M9" s="59"/>
      <c r="N9" s="59">
        <f>SUM(K9:M9)</f>
        <v>1.24</v>
      </c>
      <c r="O9" s="59">
        <v>3.36</v>
      </c>
      <c r="P9" s="59">
        <v>7.47</v>
      </c>
      <c r="Q9" s="59"/>
      <c r="R9" s="59">
        <f>SUM(O9:Q9)</f>
        <v>10.83</v>
      </c>
      <c r="T9" s="68">
        <v>3782.12</v>
      </c>
    </row>
    <row r="10" spans="1:21" x14ac:dyDescent="0.3">
      <c r="A10" s="58">
        <v>1100</v>
      </c>
      <c r="B10" s="55" t="s">
        <v>19</v>
      </c>
      <c r="C10" s="60">
        <f>U10/T9*C9</f>
        <v>74.81700739267923</v>
      </c>
      <c r="D10" s="60">
        <f>U10/T9*D9</f>
        <v>143.00829428997494</v>
      </c>
      <c r="E10" s="60">
        <f>U10/T9*E9</f>
        <v>53.883414592873834</v>
      </c>
      <c r="F10" s="60">
        <f>SUM(C10:E10)</f>
        <v>271.70871627552799</v>
      </c>
      <c r="G10" s="60">
        <f>U10/T9*G9</f>
        <v>380.27193214387694</v>
      </c>
      <c r="H10" s="60">
        <f>U10/T9*H9</f>
        <v>885.92871722737516</v>
      </c>
      <c r="I10" s="60">
        <f>U10/T9*I9</f>
        <v>302.84364324770235</v>
      </c>
      <c r="J10" s="60">
        <f>SUM(G10:I10)</f>
        <v>1569.0442926189544</v>
      </c>
      <c r="K10" s="59"/>
      <c r="L10" s="59">
        <f>U10/T9*L9</f>
        <v>0.67178196355483166</v>
      </c>
      <c r="M10" s="59"/>
      <c r="N10" s="59">
        <f>SUM(L10:M10)</f>
        <v>0.67178196355483166</v>
      </c>
      <c r="O10" s="59">
        <f>U10/T9*O9</f>
        <v>1.8203124173743825</v>
      </c>
      <c r="P10" s="59">
        <f>U10/T9*P9</f>
        <v>4.046944570769833</v>
      </c>
      <c r="Q10" s="59"/>
      <c r="R10" s="59">
        <f>SUM(O10:Q10)</f>
        <v>5.8672569881442156</v>
      </c>
      <c r="U10" s="101">
        <v>2049</v>
      </c>
    </row>
    <row r="11" spans="1:21" ht="46.8" x14ac:dyDescent="0.3">
      <c r="A11" s="58">
        <v>1200</v>
      </c>
      <c r="B11" s="55" t="s">
        <v>20</v>
      </c>
      <c r="C11" s="60">
        <f>U11/T9*C9</f>
        <v>17.649332043933033</v>
      </c>
      <c r="D11" s="60">
        <f>U11/T9*D9</f>
        <v>33.735656623005092</v>
      </c>
      <c r="E11" s="60">
        <f>U11/T9*E9</f>
        <v>12.711097502458937</v>
      </c>
      <c r="F11" s="60">
        <f>SUM(C11:E11)</f>
        <v>64.096086169397068</v>
      </c>
      <c r="G11" s="60">
        <f>U11/T9*G9</f>
        <v>89.706148792740578</v>
      </c>
      <c r="H11" s="60">
        <f>U11/T9*H9</f>
        <v>208.99058439393778</v>
      </c>
      <c r="I11" s="60">
        <f>U11/T9*I9</f>
        <v>71.440815442132987</v>
      </c>
      <c r="J11" s="60">
        <f>SUM(G11:I11)</f>
        <v>370.13754862881132</v>
      </c>
      <c r="K11" s="59"/>
      <c r="L11" s="59">
        <f>U11/T9*L9</f>
        <v>0.15847336520258479</v>
      </c>
      <c r="M11" s="59"/>
      <c r="N11" s="59">
        <f>SUM(K11:M11)</f>
        <v>0.15847336520258479</v>
      </c>
      <c r="O11" s="59">
        <f>U11/T9*O9</f>
        <v>0.42941169925861683</v>
      </c>
      <c r="P11" s="59">
        <f>U11/T9*P9</f>
        <v>0.95467422424460346</v>
      </c>
      <c r="Q11" s="59"/>
      <c r="R11" s="59">
        <f>SUM(O11:Q11)</f>
        <v>1.3840859235032204</v>
      </c>
      <c r="U11" s="68">
        <f>U10*0.2359</f>
        <v>483.35910000000001</v>
      </c>
    </row>
    <row r="12" spans="1:21" x14ac:dyDescent="0.3">
      <c r="A12" s="58">
        <v>2222</v>
      </c>
      <c r="B12" s="55" t="s">
        <v>21</v>
      </c>
      <c r="C12" s="60">
        <f>U12/T9*C9</f>
        <v>27.783071134707516</v>
      </c>
      <c r="D12" s="60">
        <f>U12/T9*D9</f>
        <v>53.105700850316758</v>
      </c>
      <c r="E12" s="60">
        <f>U12/T9*E9</f>
        <v>20.009444279927656</v>
      </c>
      <c r="F12" s="60">
        <f t="shared" ref="F12:F13" si="0">SUM(C12:E12)</f>
        <v>100.89821626495194</v>
      </c>
      <c r="G12" s="60">
        <f>U12/T9*G9</f>
        <v>141.21284062906517</v>
      </c>
      <c r="H12" s="60">
        <f>U12/T9*H9</f>
        <v>328.98697005912027</v>
      </c>
      <c r="I12" s="60">
        <f>U12/T9*I9</f>
        <v>112.46007794570241</v>
      </c>
      <c r="J12" s="60">
        <f t="shared" ref="J12:J13" si="1">SUM(G12:I12)</f>
        <v>582.65988863388782</v>
      </c>
      <c r="K12" s="59"/>
      <c r="L12" s="59">
        <f>U12/T9*L9</f>
        <v>0.24946421583662073</v>
      </c>
      <c r="M12" s="59"/>
      <c r="N12" s="59">
        <f t="shared" ref="N12:N13" si="2">SUM(K12:M12)</f>
        <v>0.24946421583662073</v>
      </c>
      <c r="O12" s="59">
        <f>U12/T9*O9</f>
        <v>0.67596755258955288</v>
      </c>
      <c r="P12" s="59">
        <f>U12/T9*P9</f>
        <v>1.5028207195964167</v>
      </c>
      <c r="Q12" s="59"/>
      <c r="R12" s="59">
        <f t="shared" ref="R12:R13" si="3">SUM(O12:Q12)</f>
        <v>2.1787882721859697</v>
      </c>
      <c r="U12" s="68">
        <f>5853*0.13</f>
        <v>760.89</v>
      </c>
    </row>
    <row r="13" spans="1:21" x14ac:dyDescent="0.3">
      <c r="A13" s="58">
        <v>2223</v>
      </c>
      <c r="B13" s="55" t="s">
        <v>22</v>
      </c>
      <c r="C13" s="60">
        <f>U13/T9*C9</f>
        <v>33.949175594640046</v>
      </c>
      <c r="D13" s="60">
        <f>U13/T9*D9</f>
        <v>64.891845631550567</v>
      </c>
      <c r="E13" s="60">
        <f>U13/T9*E9</f>
        <v>24.450289678804481</v>
      </c>
      <c r="F13" s="60">
        <f t="shared" si="0"/>
        <v>123.29131090499509</v>
      </c>
      <c r="G13" s="60">
        <f>U13/T9*G9</f>
        <v>172.55326092244562</v>
      </c>
      <c r="H13" s="60">
        <f>U13/T9*H9</f>
        <v>402.00150518756675</v>
      </c>
      <c r="I13" s="60">
        <f>U13/T9*I9</f>
        <v>137.41918289213459</v>
      </c>
      <c r="J13" s="60">
        <f t="shared" si="1"/>
        <v>711.97394900214692</v>
      </c>
      <c r="K13" s="59"/>
      <c r="L13" s="59">
        <f>U13/T9*L9</f>
        <v>0.30482967224731106</v>
      </c>
      <c r="M13" s="59"/>
      <c r="N13" s="59">
        <f t="shared" si="2"/>
        <v>0.30482967224731106</v>
      </c>
      <c r="O13" s="59">
        <f>U13/T9*O9</f>
        <v>0.82599007963787507</v>
      </c>
      <c r="P13" s="59">
        <f>U13/T9*P9</f>
        <v>1.8363529449092044</v>
      </c>
      <c r="Q13" s="59"/>
      <c r="R13" s="59">
        <f t="shared" si="3"/>
        <v>2.6623430245470794</v>
      </c>
      <c r="U13" s="68">
        <f>7152*0.13</f>
        <v>929.76</v>
      </c>
    </row>
    <row r="14" spans="1:21" x14ac:dyDescent="0.3">
      <c r="A14" s="56"/>
      <c r="B14" s="61" t="s">
        <v>23</v>
      </c>
      <c r="C14" s="60">
        <f>SUM(C9:C13)</f>
        <v>292.29858616595988</v>
      </c>
      <c r="D14" s="60">
        <f>SUM(D9:D13)</f>
        <v>558.71149739484736</v>
      </c>
      <c r="E14" s="60">
        <f>SUM(E9:E13)</f>
        <v>210.51424605406493</v>
      </c>
      <c r="F14" s="60">
        <f t="shared" ref="F14:R14" si="4">SUM(F9:F13)</f>
        <v>1061.5243296148722</v>
      </c>
      <c r="G14" s="60">
        <f t="shared" si="4"/>
        <v>1485.6641824881281</v>
      </c>
      <c r="H14" s="60">
        <f t="shared" si="4"/>
        <v>3461.1877768679997</v>
      </c>
      <c r="I14" s="60">
        <f t="shared" si="4"/>
        <v>1183.1637195276724</v>
      </c>
      <c r="J14" s="60">
        <f t="shared" si="4"/>
        <v>6130.0156788838003</v>
      </c>
      <c r="K14" s="60"/>
      <c r="L14" s="60">
        <f t="shared" si="4"/>
        <v>2.624549216841348</v>
      </c>
      <c r="M14" s="60"/>
      <c r="N14" s="60">
        <f t="shared" si="4"/>
        <v>2.624549216841348</v>
      </c>
      <c r="O14" s="60">
        <f t="shared" si="4"/>
        <v>7.1116817488604278</v>
      </c>
      <c r="P14" s="60">
        <f t="shared" si="4"/>
        <v>15.810792459520059</v>
      </c>
      <c r="Q14" s="60">
        <f t="shared" si="4"/>
        <v>0</v>
      </c>
      <c r="R14" s="60">
        <f t="shared" si="4"/>
        <v>22.922474208380486</v>
      </c>
      <c r="U14" s="101">
        <f>SUM(U10:U13)</f>
        <v>4223.0091000000002</v>
      </c>
    </row>
    <row r="15" spans="1:21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  <c r="O15" s="59"/>
      <c r="P15" s="59"/>
      <c r="Q15" s="59"/>
      <c r="R15" s="59"/>
    </row>
    <row r="16" spans="1:21" x14ac:dyDescent="0.3">
      <c r="A16" s="58">
        <v>1100</v>
      </c>
      <c r="B16" s="55" t="s">
        <v>25</v>
      </c>
      <c r="C16" s="60">
        <f>U16/T9*C9</f>
        <v>43.327408966399787</v>
      </c>
      <c r="D16" s="60">
        <f>U16/T9*D9</f>
        <v>82.817785263291483</v>
      </c>
      <c r="E16" s="60">
        <f>U16/T9*E9</f>
        <v>31.204519158567148</v>
      </c>
      <c r="F16" s="60">
        <f>SUM(C16:E16)</f>
        <v>157.34971338825841</v>
      </c>
      <c r="G16" s="60">
        <f t="shared" ref="G16:J34" si="5">$U16/$T$9*G$9</f>
        <v>220.21994860025589</v>
      </c>
      <c r="H16" s="60">
        <f t="shared" si="5"/>
        <v>513.05174029380339</v>
      </c>
      <c r="I16" s="60">
        <f t="shared" si="5"/>
        <v>175.38031580171966</v>
      </c>
      <c r="J16" s="60">
        <f t="shared" si="5"/>
        <v>908.65200469577894</v>
      </c>
      <c r="K16" s="60"/>
      <c r="L16" s="60">
        <f t="shared" ref="L16:L34" si="6">$U16/$T$9*L$9</f>
        <v>0.38903683648324217</v>
      </c>
      <c r="M16" s="60"/>
      <c r="N16" s="60">
        <f t="shared" ref="N16:R25" si="7">$U16/$T$9*N$9</f>
        <v>0.38903683648324217</v>
      </c>
      <c r="O16" s="60">
        <f t="shared" si="7"/>
        <v>1.0541643311158819</v>
      </c>
      <c r="P16" s="60">
        <f t="shared" si="7"/>
        <v>2.3436332004272731</v>
      </c>
      <c r="Q16" s="60">
        <f t="shared" si="7"/>
        <v>0</v>
      </c>
      <c r="R16" s="60">
        <f t="shared" si="7"/>
        <v>3.3977975315431554</v>
      </c>
      <c r="S16" s="88"/>
      <c r="T16" s="88"/>
      <c r="U16" s="68">
        <v>1186.5999999999999</v>
      </c>
    </row>
    <row r="17" spans="1:22" ht="46.8" x14ac:dyDescent="0.3">
      <c r="A17" s="58">
        <v>1200</v>
      </c>
      <c r="B17" s="55" t="s">
        <v>26</v>
      </c>
      <c r="C17" s="60">
        <f>U17/T9*C9</f>
        <v>10.220935775173711</v>
      </c>
      <c r="D17" s="60">
        <f>U17/T9*D9</f>
        <v>19.536715543610462</v>
      </c>
      <c r="E17" s="60">
        <f>U17/T9*E9</f>
        <v>7.3611460695059909</v>
      </c>
      <c r="F17" s="60">
        <f t="shared" ref="F17:F34" si="8">SUM(C17:E17)</f>
        <v>37.118797388290162</v>
      </c>
      <c r="G17" s="60">
        <f t="shared" si="5"/>
        <v>51.949885874800373</v>
      </c>
      <c r="H17" s="60">
        <f t="shared" si="5"/>
        <v>121.02890553530824</v>
      </c>
      <c r="I17" s="60">
        <f t="shared" si="5"/>
        <v>41.372216497625672</v>
      </c>
      <c r="J17" s="60">
        <f t="shared" si="5"/>
        <v>214.35100790773427</v>
      </c>
      <c r="K17" s="60"/>
      <c r="L17" s="60">
        <f t="shared" si="6"/>
        <v>9.1773789726396826E-2</v>
      </c>
      <c r="M17" s="60"/>
      <c r="N17" s="60">
        <f t="shared" si="7"/>
        <v>9.1773789726396826E-2</v>
      </c>
      <c r="O17" s="60">
        <f t="shared" si="7"/>
        <v>0.24867736571023658</v>
      </c>
      <c r="P17" s="60">
        <f t="shared" si="7"/>
        <v>0.55286307198079376</v>
      </c>
      <c r="Q17" s="60">
        <f t="shared" si="7"/>
        <v>0</v>
      </c>
      <c r="R17" s="60">
        <f t="shared" si="7"/>
        <v>0.80154043769103045</v>
      </c>
      <c r="S17" s="88"/>
      <c r="T17" s="88"/>
      <c r="U17" s="68">
        <f>U16*0.2359</f>
        <v>279.91893999999996</v>
      </c>
    </row>
    <row r="18" spans="1:22" x14ac:dyDescent="0.3">
      <c r="A18" s="58">
        <v>2210</v>
      </c>
      <c r="B18" s="55" t="s">
        <v>27</v>
      </c>
      <c r="C18" s="60">
        <f>U18/T9*C9</f>
        <v>0.28772963311581862</v>
      </c>
      <c r="D18" s="60">
        <f>U18/T9*D9</f>
        <v>0.54997821327720964</v>
      </c>
      <c r="E18" s="60">
        <f>U18/T9*E9</f>
        <v>0.20722367349528834</v>
      </c>
      <c r="F18" s="60">
        <f t="shared" si="8"/>
        <v>1.0449315198883167</v>
      </c>
      <c r="G18" s="60">
        <f t="shared" si="5"/>
        <v>1.4624415936035873</v>
      </c>
      <c r="H18" s="60">
        <f t="shared" si="5"/>
        <v>3.4070855499032286</v>
      </c>
      <c r="I18" s="60">
        <f t="shared" si="5"/>
        <v>1.1646695504108806</v>
      </c>
      <c r="J18" s="60">
        <f t="shared" si="5"/>
        <v>6.0341966939176963</v>
      </c>
      <c r="K18" s="60"/>
      <c r="L18" s="60">
        <f t="shared" si="6"/>
        <v>2.5835245840956922E-3</v>
      </c>
      <c r="M18" s="60"/>
      <c r="N18" s="60">
        <f t="shared" si="7"/>
        <v>2.5835245840956922E-3</v>
      </c>
      <c r="O18" s="60">
        <f t="shared" si="7"/>
        <v>7.0005182278721975E-3</v>
      </c>
      <c r="P18" s="60">
        <f t="shared" si="7"/>
        <v>1.5563652131608726E-2</v>
      </c>
      <c r="Q18" s="60">
        <f t="shared" si="7"/>
        <v>0</v>
      </c>
      <c r="R18" s="60">
        <f t="shared" si="7"/>
        <v>2.2564170359480926E-2</v>
      </c>
      <c r="S18" s="88"/>
      <c r="T18" s="88"/>
      <c r="U18" s="51">
        <v>7.88</v>
      </c>
      <c r="V18" s="51" t="s">
        <v>108</v>
      </c>
    </row>
    <row r="19" spans="1:22" x14ac:dyDescent="0.3">
      <c r="A19" s="58">
        <v>2221</v>
      </c>
      <c r="B19" s="55" t="s">
        <v>28</v>
      </c>
      <c r="C19" s="60">
        <f>U19/T9*C9</f>
        <v>2.8557531225873314</v>
      </c>
      <c r="D19" s="60">
        <f>U19/T9*D9</f>
        <v>5.4586035609658072</v>
      </c>
      <c r="E19" s="60">
        <f>U19/T9*E9</f>
        <v>2.056721256861231</v>
      </c>
      <c r="F19" s="60">
        <f t="shared" si="8"/>
        <v>10.37107794041437</v>
      </c>
      <c r="G19" s="60">
        <f t="shared" si="5"/>
        <v>14.514918405550324</v>
      </c>
      <c r="H19" s="60">
        <f t="shared" si="5"/>
        <v>33.81575645405222</v>
      </c>
      <c r="I19" s="60">
        <f t="shared" si="5"/>
        <v>11.559493088532356</v>
      </c>
      <c r="J19" s="60">
        <f t="shared" si="5"/>
        <v>59.890167948134895</v>
      </c>
      <c r="K19" s="60"/>
      <c r="L19" s="60">
        <f t="shared" si="6"/>
        <v>2.5641809355599503E-2</v>
      </c>
      <c r="M19" s="60"/>
      <c r="N19" s="60">
        <f t="shared" si="7"/>
        <v>2.5641809355599503E-2</v>
      </c>
      <c r="O19" s="60">
        <f t="shared" si="7"/>
        <v>6.9481031802269611E-2</v>
      </c>
      <c r="P19" s="60">
        <f t="shared" si="7"/>
        <v>0.15447122248897441</v>
      </c>
      <c r="Q19" s="60">
        <f t="shared" si="7"/>
        <v>0</v>
      </c>
      <c r="R19" s="60">
        <f t="shared" si="7"/>
        <v>0.22395225429124405</v>
      </c>
      <c r="S19" s="88"/>
      <c r="T19" s="88"/>
      <c r="U19" s="51">
        <v>78.209999999999994</v>
      </c>
      <c r="V19" s="51" t="s">
        <v>89</v>
      </c>
    </row>
    <row r="20" spans="1:22" x14ac:dyDescent="0.3">
      <c r="A20" s="58">
        <v>2224</v>
      </c>
      <c r="B20" s="55" t="s">
        <v>29</v>
      </c>
      <c r="C20" s="60">
        <f>U20/T9*C9</f>
        <v>0.7667921694710903</v>
      </c>
      <c r="D20" s="60">
        <f>U20/T9*D9</f>
        <v>1.4656779795458634</v>
      </c>
      <c r="E20" s="60">
        <f>U20/T9*E9</f>
        <v>0.55224583038084463</v>
      </c>
      <c r="F20" s="60">
        <f t="shared" si="8"/>
        <v>2.7847159793977982</v>
      </c>
      <c r="G20" s="60">
        <f t="shared" si="5"/>
        <v>3.8973697291466163</v>
      </c>
      <c r="H20" s="60">
        <f t="shared" si="5"/>
        <v>9.0797965162395702</v>
      </c>
      <c r="I20" s="60">
        <f t="shared" si="5"/>
        <v>3.1038147917041239</v>
      </c>
      <c r="J20" s="60">
        <f t="shared" si="5"/>
        <v>16.080981037090307</v>
      </c>
      <c r="K20" s="60"/>
      <c r="L20" s="60">
        <f t="shared" si="6"/>
        <v>6.8850274449250683E-3</v>
      </c>
      <c r="M20" s="60"/>
      <c r="N20" s="60">
        <f t="shared" si="7"/>
        <v>6.8850274449250683E-3</v>
      </c>
      <c r="O20" s="60">
        <f t="shared" si="7"/>
        <v>1.8656203399151798E-2</v>
      </c>
      <c r="P20" s="60">
        <f t="shared" si="7"/>
        <v>4.1476737914185692E-2</v>
      </c>
      <c r="Q20" s="60">
        <f t="shared" si="7"/>
        <v>0</v>
      </c>
      <c r="R20" s="60">
        <f t="shared" si="7"/>
        <v>6.0132941313337497E-2</v>
      </c>
      <c r="S20" s="88"/>
      <c r="T20" s="88"/>
      <c r="U20" s="51">
        <v>21</v>
      </c>
      <c r="V20" s="51" t="s">
        <v>90</v>
      </c>
    </row>
    <row r="21" spans="1:22" x14ac:dyDescent="0.3">
      <c r="A21" s="58">
        <v>2234</v>
      </c>
      <c r="B21" s="55" t="s">
        <v>30</v>
      </c>
      <c r="C21" s="60">
        <f>U21/T9*C9</f>
        <v>3.2862521548761015</v>
      </c>
      <c r="D21" s="60">
        <f>U21/T9*D9</f>
        <v>6.2814770551965573</v>
      </c>
      <c r="E21" s="60">
        <f>U21/T9*E9</f>
        <v>2.3667678444893339</v>
      </c>
      <c r="F21" s="60">
        <f t="shared" si="8"/>
        <v>11.934497054561994</v>
      </c>
      <c r="G21" s="60">
        <f t="shared" si="5"/>
        <v>16.703013124914069</v>
      </c>
      <c r="H21" s="60">
        <f t="shared" si="5"/>
        <v>38.913413641026729</v>
      </c>
      <c r="I21" s="60">
        <f t="shared" si="5"/>
        <v>13.302063393017674</v>
      </c>
      <c r="J21" s="60">
        <f t="shared" si="5"/>
        <v>68.918490158958463</v>
      </c>
      <c r="K21" s="60"/>
      <c r="L21" s="60">
        <f t="shared" si="6"/>
        <v>2.9507260478250294E-2</v>
      </c>
      <c r="M21" s="60"/>
      <c r="N21" s="60">
        <f t="shared" si="7"/>
        <v>2.9507260478250294E-2</v>
      </c>
      <c r="O21" s="60">
        <f t="shared" si="7"/>
        <v>7.995515742493628E-2</v>
      </c>
      <c r="P21" s="60">
        <f t="shared" si="7"/>
        <v>0.17775744820365297</v>
      </c>
      <c r="Q21" s="60">
        <f t="shared" si="7"/>
        <v>0</v>
      </c>
      <c r="R21" s="60">
        <f t="shared" si="7"/>
        <v>0.25771260562858928</v>
      </c>
      <c r="S21" s="88"/>
      <c r="T21" s="88"/>
      <c r="U21" s="51">
        <f>3*30</f>
        <v>90</v>
      </c>
      <c r="V21" s="51" t="s">
        <v>91</v>
      </c>
    </row>
    <row r="22" spans="1:22" x14ac:dyDescent="0.3">
      <c r="A22" s="58">
        <v>2235</v>
      </c>
      <c r="B22" s="55" t="s">
        <v>31</v>
      </c>
      <c r="C22" s="60">
        <f>U22/T9*C9</f>
        <v>2.1908347699174007</v>
      </c>
      <c r="D22" s="60">
        <f>U22/T9*D9</f>
        <v>4.1876513701310385</v>
      </c>
      <c r="E22" s="60">
        <f>U22/T9*E9</f>
        <v>1.577845229659556</v>
      </c>
      <c r="F22" s="60">
        <f t="shared" si="8"/>
        <v>7.9563313697079954</v>
      </c>
      <c r="G22" s="60">
        <f t="shared" si="5"/>
        <v>11.135342083276045</v>
      </c>
      <c r="H22" s="60">
        <f t="shared" si="5"/>
        <v>25.942275760684485</v>
      </c>
      <c r="I22" s="60">
        <f t="shared" si="5"/>
        <v>8.868042262011782</v>
      </c>
      <c r="J22" s="60">
        <f t="shared" si="5"/>
        <v>45.945660105972308</v>
      </c>
      <c r="K22" s="60"/>
      <c r="L22" s="60">
        <f t="shared" si="6"/>
        <v>1.9671506985500197E-2</v>
      </c>
      <c r="M22" s="60"/>
      <c r="N22" s="60">
        <f t="shared" si="7"/>
        <v>1.9671506985500197E-2</v>
      </c>
      <c r="O22" s="60">
        <f t="shared" si="7"/>
        <v>5.3303438283290851E-2</v>
      </c>
      <c r="P22" s="60">
        <f t="shared" si="7"/>
        <v>0.11850496546910198</v>
      </c>
      <c r="Q22" s="60">
        <f t="shared" si="7"/>
        <v>0</v>
      </c>
      <c r="R22" s="60">
        <f t="shared" si="7"/>
        <v>0.17180840375239284</v>
      </c>
      <c r="S22" s="88"/>
      <c r="T22" s="88"/>
      <c r="U22" s="51">
        <f>3*20</f>
        <v>60</v>
      </c>
      <c r="V22" s="51" t="s">
        <v>92</v>
      </c>
    </row>
    <row r="23" spans="1:22" x14ac:dyDescent="0.3">
      <c r="A23" s="58">
        <v>2243</v>
      </c>
      <c r="B23" s="55" t="s">
        <v>32</v>
      </c>
      <c r="C23" s="60">
        <f>U23/T9*C9</f>
        <v>2.9211130265565344</v>
      </c>
      <c r="D23" s="60">
        <f>U23/T9*D9</f>
        <v>5.5835351601747174</v>
      </c>
      <c r="E23" s="60">
        <f>U23/T9*E9</f>
        <v>2.1037936395460743</v>
      </c>
      <c r="F23" s="60">
        <f t="shared" si="8"/>
        <v>10.608441826277327</v>
      </c>
      <c r="G23" s="60">
        <f t="shared" si="5"/>
        <v>14.847122777701394</v>
      </c>
      <c r="H23" s="60">
        <f t="shared" si="5"/>
        <v>34.589701014245975</v>
      </c>
      <c r="I23" s="60">
        <f t="shared" si="5"/>
        <v>11.824056349349043</v>
      </c>
      <c r="J23" s="60">
        <f t="shared" si="5"/>
        <v>61.260880141296411</v>
      </c>
      <c r="K23" s="60"/>
      <c r="L23" s="60">
        <f t="shared" si="6"/>
        <v>2.6228675980666926E-2</v>
      </c>
      <c r="M23" s="60"/>
      <c r="N23" s="60">
        <f t="shared" si="7"/>
        <v>2.6228675980666926E-2</v>
      </c>
      <c r="O23" s="60">
        <f t="shared" si="7"/>
        <v>7.1071251044387801E-2</v>
      </c>
      <c r="P23" s="60">
        <f t="shared" si="7"/>
        <v>0.1580066206254693</v>
      </c>
      <c r="Q23" s="60">
        <f t="shared" si="7"/>
        <v>0</v>
      </c>
      <c r="R23" s="60">
        <f t="shared" si="7"/>
        <v>0.2290778716698571</v>
      </c>
      <c r="S23" s="88"/>
      <c r="T23" s="88"/>
      <c r="U23" s="51">
        <v>80</v>
      </c>
      <c r="V23" s="51" t="s">
        <v>93</v>
      </c>
    </row>
    <row r="24" spans="1:22" x14ac:dyDescent="0.3">
      <c r="A24" s="58">
        <v>2244</v>
      </c>
      <c r="B24" s="55" t="s">
        <v>33</v>
      </c>
      <c r="C24" s="60">
        <f>U24/T9*C9</f>
        <v>0.56523537063868934</v>
      </c>
      <c r="D24" s="60">
        <f>U24/T9*D9</f>
        <v>1.0804140534938078</v>
      </c>
      <c r="E24" s="60">
        <f>U24/T9*E9</f>
        <v>0.40708406925216545</v>
      </c>
      <c r="F24" s="60">
        <f t="shared" si="8"/>
        <v>2.0527334933846628</v>
      </c>
      <c r="G24" s="60">
        <f t="shared" si="5"/>
        <v>2.8729182574852197</v>
      </c>
      <c r="H24" s="60">
        <f t="shared" si="5"/>
        <v>6.6931071462565965</v>
      </c>
      <c r="I24" s="60">
        <f t="shared" si="5"/>
        <v>2.2879549035990396</v>
      </c>
      <c r="J24" s="60">
        <f t="shared" si="5"/>
        <v>11.853980307340855</v>
      </c>
      <c r="K24" s="60"/>
      <c r="L24" s="60">
        <f t="shared" si="6"/>
        <v>5.0752488022590501E-3</v>
      </c>
      <c r="M24" s="60"/>
      <c r="N24" s="60">
        <f t="shared" si="7"/>
        <v>5.0752488022590501E-3</v>
      </c>
      <c r="O24" s="60">
        <f t="shared" si="7"/>
        <v>1.375228707708904E-2</v>
      </c>
      <c r="P24" s="60">
        <f t="shared" si="7"/>
        <v>3.0574281091028312E-2</v>
      </c>
      <c r="Q24" s="60">
        <f t="shared" si="7"/>
        <v>0</v>
      </c>
      <c r="R24" s="60">
        <f t="shared" si="7"/>
        <v>4.432656816811735E-2</v>
      </c>
      <c r="S24" s="88"/>
      <c r="T24" s="88"/>
      <c r="U24" s="51">
        <v>15.48</v>
      </c>
      <c r="V24" s="51" t="s">
        <v>94</v>
      </c>
    </row>
    <row r="25" spans="1:22" x14ac:dyDescent="0.3">
      <c r="A25" s="58">
        <v>2247</v>
      </c>
      <c r="B25" s="55" t="s">
        <v>34</v>
      </c>
      <c r="C25" s="60">
        <f>U25/T9*C9</f>
        <v>1.0223895592947872E-2</v>
      </c>
      <c r="D25" s="60">
        <f>U25/T9*D9</f>
        <v>1.9542373060611514E-2</v>
      </c>
      <c r="E25" s="60">
        <f>U25/T9*E9</f>
        <v>7.3632777384112615E-3</v>
      </c>
      <c r="F25" s="60">
        <f t="shared" si="8"/>
        <v>3.712954639197065E-2</v>
      </c>
      <c r="G25" s="60">
        <f t="shared" si="5"/>
        <v>5.1964929721954885E-2</v>
      </c>
      <c r="H25" s="60">
        <f t="shared" si="5"/>
        <v>0.12106395354986094</v>
      </c>
      <c r="I25" s="60">
        <f t="shared" si="5"/>
        <v>4.1384197222721651E-2</v>
      </c>
      <c r="J25" s="60">
        <f t="shared" si="5"/>
        <v>0.21441308049453747</v>
      </c>
      <c r="K25" s="60"/>
      <c r="L25" s="60">
        <f t="shared" si="6"/>
        <v>9.1800365932334261E-5</v>
      </c>
      <c r="M25" s="60"/>
      <c r="N25" s="60">
        <f t="shared" si="7"/>
        <v>9.1800365932334261E-5</v>
      </c>
      <c r="O25" s="60">
        <f t="shared" si="7"/>
        <v>2.4874937865535733E-4</v>
      </c>
      <c r="P25" s="60">
        <f t="shared" si="7"/>
        <v>5.5302317218914264E-4</v>
      </c>
      <c r="Q25" s="60">
        <f t="shared" si="7"/>
        <v>0</v>
      </c>
      <c r="R25" s="60">
        <f t="shared" si="7"/>
        <v>8.0177255084449997E-4</v>
      </c>
      <c r="S25" s="88"/>
      <c r="T25" s="88"/>
      <c r="U25" s="51">
        <v>0.28000000000000003</v>
      </c>
      <c r="V25" s="51" t="s">
        <v>95</v>
      </c>
    </row>
    <row r="26" spans="1:22" x14ac:dyDescent="0.3">
      <c r="A26" s="58">
        <v>2251</v>
      </c>
      <c r="B26" s="55" t="s">
        <v>35</v>
      </c>
      <c r="C26" s="60">
        <v>0</v>
      </c>
      <c r="D26" s="60">
        <f>0</f>
        <v>0</v>
      </c>
      <c r="E26" s="60">
        <v>0</v>
      </c>
      <c r="F26" s="60">
        <f t="shared" si="8"/>
        <v>0</v>
      </c>
      <c r="G26" s="60">
        <f t="shared" si="5"/>
        <v>0</v>
      </c>
      <c r="H26" s="60">
        <f t="shared" si="5"/>
        <v>0</v>
      </c>
      <c r="I26" s="60">
        <f t="shared" si="5"/>
        <v>0</v>
      </c>
      <c r="J26" s="60">
        <f t="shared" si="5"/>
        <v>0</v>
      </c>
      <c r="K26" s="60"/>
      <c r="L26" s="60">
        <f t="shared" si="6"/>
        <v>0</v>
      </c>
      <c r="M26" s="60"/>
      <c r="N26" s="60">
        <f t="shared" ref="N26:R34" si="9">$U26/$T$9*N$9</f>
        <v>0</v>
      </c>
      <c r="O26" s="60">
        <f t="shared" si="9"/>
        <v>0</v>
      </c>
      <c r="P26" s="60">
        <f t="shared" si="9"/>
        <v>0</v>
      </c>
      <c r="Q26" s="60">
        <f t="shared" si="9"/>
        <v>0</v>
      </c>
      <c r="R26" s="60">
        <f t="shared" si="9"/>
        <v>0</v>
      </c>
      <c r="S26" s="88"/>
      <c r="T26" s="88"/>
      <c r="U26" s="51">
        <v>0</v>
      </c>
      <c r="V26" s="51" t="s">
        <v>96</v>
      </c>
    </row>
    <row r="27" spans="1:22" x14ac:dyDescent="0.3">
      <c r="A27" s="58">
        <v>2311</v>
      </c>
      <c r="B27" s="55" t="s">
        <v>36</v>
      </c>
      <c r="C27" s="60">
        <f>U27/T9*C9</f>
        <v>0.16139149471724851</v>
      </c>
      <c r="D27" s="60">
        <f>U27/T9*D9</f>
        <v>0.30849031759965312</v>
      </c>
      <c r="E27" s="60">
        <f>U27/T9*E9</f>
        <v>0.11623459858492061</v>
      </c>
      <c r="F27" s="60">
        <f t="shared" si="8"/>
        <v>0.5861164109018222</v>
      </c>
      <c r="G27" s="60">
        <f t="shared" si="5"/>
        <v>0.820303533468002</v>
      </c>
      <c r="H27" s="60">
        <f t="shared" si="5"/>
        <v>1.9110809810370901</v>
      </c>
      <c r="I27" s="60">
        <f t="shared" si="5"/>
        <v>0.65327911330153454</v>
      </c>
      <c r="J27" s="60">
        <f t="shared" si="5"/>
        <v>3.3846636278066264</v>
      </c>
      <c r="K27" s="60"/>
      <c r="L27" s="60">
        <f t="shared" si="6"/>
        <v>1.4491343479318478E-3</v>
      </c>
      <c r="M27" s="60"/>
      <c r="N27" s="60">
        <f t="shared" si="9"/>
        <v>1.4491343479318478E-3</v>
      </c>
      <c r="O27" s="60">
        <f t="shared" si="9"/>
        <v>3.9266866202024254E-3</v>
      </c>
      <c r="P27" s="60">
        <f t="shared" si="9"/>
        <v>8.7298657895571782E-3</v>
      </c>
      <c r="Q27" s="60">
        <f t="shared" si="9"/>
        <v>0</v>
      </c>
      <c r="R27" s="60">
        <f t="shared" si="9"/>
        <v>1.2656552409759604E-2</v>
      </c>
      <c r="S27" s="88"/>
      <c r="T27" s="88"/>
      <c r="U27" s="51">
        <v>4.42</v>
      </c>
      <c r="V27" s="51" t="s">
        <v>97</v>
      </c>
    </row>
    <row r="28" spans="1:22" x14ac:dyDescent="0.3">
      <c r="A28" s="58">
        <v>2312</v>
      </c>
      <c r="B28" s="55" t="s">
        <v>37</v>
      </c>
      <c r="C28" s="60">
        <f>U28/T9*C9</f>
        <v>0.32241785030617748</v>
      </c>
      <c r="D28" s="60">
        <f>U28/T9*D9</f>
        <v>0.61628269330428442</v>
      </c>
      <c r="E28" s="60">
        <f>U28/T9*E9</f>
        <v>0.23220622296489796</v>
      </c>
      <c r="F28" s="60">
        <f t="shared" si="8"/>
        <v>1.1709067665753599</v>
      </c>
      <c r="G28" s="60">
        <f t="shared" si="5"/>
        <v>1.6387511765887912</v>
      </c>
      <c r="H28" s="60">
        <f t="shared" si="5"/>
        <v>3.8178382494473997</v>
      </c>
      <c r="I28" s="60">
        <f t="shared" si="5"/>
        <v>1.3050802195594005</v>
      </c>
      <c r="J28" s="60">
        <f t="shared" si="5"/>
        <v>6.7616696455955916</v>
      </c>
      <c r="K28" s="60"/>
      <c r="L28" s="60">
        <f t="shared" si="6"/>
        <v>2.8949901113661121E-3</v>
      </c>
      <c r="M28" s="60"/>
      <c r="N28" s="60">
        <f t="shared" si="9"/>
        <v>2.8949901113661121E-3</v>
      </c>
      <c r="O28" s="60">
        <f t="shared" si="9"/>
        <v>7.8444893340243026E-3</v>
      </c>
      <c r="P28" s="60">
        <f t="shared" si="9"/>
        <v>1.7439980751536174E-2</v>
      </c>
      <c r="Q28" s="60">
        <f t="shared" si="9"/>
        <v>0</v>
      </c>
      <c r="R28" s="60">
        <f t="shared" si="9"/>
        <v>2.5284470085560479E-2</v>
      </c>
      <c r="S28" s="88"/>
      <c r="T28" s="88"/>
      <c r="U28" s="51">
        <v>8.83</v>
      </c>
      <c r="V28" s="51" t="s">
        <v>98</v>
      </c>
    </row>
    <row r="29" spans="1:22" x14ac:dyDescent="0.3">
      <c r="A29" s="58">
        <v>2321</v>
      </c>
      <c r="B29" s="55" t="s">
        <v>38</v>
      </c>
      <c r="C29" s="60">
        <v>0</v>
      </c>
      <c r="D29" s="60">
        <v>0</v>
      </c>
      <c r="E29" s="60">
        <v>0</v>
      </c>
      <c r="F29" s="60">
        <f t="shared" si="8"/>
        <v>0</v>
      </c>
      <c r="G29" s="60">
        <f t="shared" si="5"/>
        <v>0</v>
      </c>
      <c r="H29" s="60">
        <f t="shared" si="5"/>
        <v>0</v>
      </c>
      <c r="I29" s="60">
        <f t="shared" si="5"/>
        <v>0</v>
      </c>
      <c r="J29" s="60">
        <f t="shared" si="5"/>
        <v>0</v>
      </c>
      <c r="K29" s="60"/>
      <c r="L29" s="60">
        <f t="shared" si="6"/>
        <v>0</v>
      </c>
      <c r="M29" s="60"/>
      <c r="N29" s="60">
        <f t="shared" si="9"/>
        <v>0</v>
      </c>
      <c r="O29" s="60">
        <f t="shared" si="9"/>
        <v>0</v>
      </c>
      <c r="P29" s="60">
        <f t="shared" si="9"/>
        <v>0</v>
      </c>
      <c r="Q29" s="60">
        <f t="shared" si="9"/>
        <v>0</v>
      </c>
      <c r="R29" s="60">
        <f t="shared" si="9"/>
        <v>0</v>
      </c>
      <c r="S29" s="88"/>
      <c r="T29" s="88"/>
      <c r="U29" s="51">
        <v>0</v>
      </c>
      <c r="V29" s="51" t="s">
        <v>99</v>
      </c>
    </row>
    <row r="30" spans="1:22" ht="15.75" customHeight="1" x14ac:dyDescent="0.3">
      <c r="A30" s="58" t="s">
        <v>104</v>
      </c>
      <c r="B30" s="55" t="s">
        <v>39</v>
      </c>
      <c r="C30" s="60">
        <f>U30/T9*C9</f>
        <v>3.286252154876101E-3</v>
      </c>
      <c r="D30" s="60">
        <f>U30/T9*D9</f>
        <v>6.2814770551965571E-3</v>
      </c>
      <c r="E30" s="60">
        <f>U30/T9*E9</f>
        <v>2.3667678444893336E-3</v>
      </c>
      <c r="F30" s="60">
        <f t="shared" si="8"/>
        <v>1.1934497054561991E-2</v>
      </c>
      <c r="G30" s="60">
        <f t="shared" si="5"/>
        <v>1.6703013124914068E-2</v>
      </c>
      <c r="H30" s="60">
        <f t="shared" si="5"/>
        <v>3.8913413641026726E-2</v>
      </c>
      <c r="I30" s="60">
        <f t="shared" si="5"/>
        <v>1.3302063393017672E-2</v>
      </c>
      <c r="J30" s="60">
        <f t="shared" si="5"/>
        <v>6.8918490158958456E-2</v>
      </c>
      <c r="K30" s="60"/>
      <c r="L30" s="60">
        <f t="shared" si="6"/>
        <v>2.9507260478250291E-5</v>
      </c>
      <c r="M30" s="60"/>
      <c r="N30" s="60">
        <f t="shared" si="9"/>
        <v>2.9507260478250291E-5</v>
      </c>
      <c r="O30" s="60">
        <f t="shared" si="9"/>
        <v>7.9955157424936276E-5</v>
      </c>
      <c r="P30" s="60">
        <f t="shared" si="9"/>
        <v>1.7775744820365297E-4</v>
      </c>
      <c r="Q30" s="60">
        <f t="shared" si="9"/>
        <v>0</v>
      </c>
      <c r="R30" s="60">
        <f t="shared" si="9"/>
        <v>2.5771260562858927E-4</v>
      </c>
      <c r="S30" s="88"/>
      <c r="T30" s="88"/>
      <c r="U30" s="51">
        <v>0.09</v>
      </c>
      <c r="V30" s="51" t="s">
        <v>100</v>
      </c>
    </row>
    <row r="31" spans="1:22" ht="15.75" customHeight="1" x14ac:dyDescent="0.3">
      <c r="A31" s="58" t="s">
        <v>102</v>
      </c>
      <c r="B31" s="55" t="s">
        <v>40</v>
      </c>
      <c r="C31" s="60">
        <f>U31/T9*C9</f>
        <v>0.55647203155901981</v>
      </c>
      <c r="D31" s="60">
        <f>U31/T9*D9</f>
        <v>1.0636634480132836</v>
      </c>
      <c r="E31" s="60">
        <f>U31/T9*E9</f>
        <v>0.40077268833352719</v>
      </c>
      <c r="F31" s="60">
        <f t="shared" si="8"/>
        <v>2.0209081679058309</v>
      </c>
      <c r="G31" s="60">
        <f t="shared" si="5"/>
        <v>2.8283768891521155</v>
      </c>
      <c r="H31" s="60">
        <f t="shared" si="5"/>
        <v>6.5893380432138589</v>
      </c>
      <c r="I31" s="60">
        <f t="shared" si="5"/>
        <v>2.2524827345509926</v>
      </c>
      <c r="J31" s="60">
        <f t="shared" si="5"/>
        <v>11.670197666916966</v>
      </c>
      <c r="K31" s="60"/>
      <c r="L31" s="60">
        <f t="shared" si="6"/>
        <v>4.9965627743170501E-3</v>
      </c>
      <c r="M31" s="60"/>
      <c r="N31" s="60">
        <f t="shared" si="9"/>
        <v>4.9965627743170501E-3</v>
      </c>
      <c r="O31" s="60">
        <f t="shared" si="9"/>
        <v>1.3539073323955876E-2</v>
      </c>
      <c r="P31" s="60">
        <f t="shared" si="9"/>
        <v>3.0100261229151902E-2</v>
      </c>
      <c r="Q31" s="60">
        <f t="shared" si="9"/>
        <v>0</v>
      </c>
      <c r="R31" s="60">
        <f t="shared" si="9"/>
        <v>4.3639334553107784E-2</v>
      </c>
      <c r="S31" s="88"/>
      <c r="T31" s="88"/>
      <c r="U31" s="51">
        <v>15.24</v>
      </c>
      <c r="V31" s="51" t="s">
        <v>97</v>
      </c>
    </row>
    <row r="32" spans="1:22" ht="16.5" customHeight="1" x14ac:dyDescent="0.3">
      <c r="A32" s="58" t="s">
        <v>103</v>
      </c>
      <c r="B32" s="55" t="s">
        <v>41</v>
      </c>
      <c r="C32" s="60">
        <f>U32/T9*C9</f>
        <v>0.31876645902298184</v>
      </c>
      <c r="D32" s="60">
        <f>U32/T9*D9</f>
        <v>0.60930327435406617</v>
      </c>
      <c r="E32" s="60">
        <f>U32/T9*E9</f>
        <v>0.22957648091546543</v>
      </c>
      <c r="F32" s="60">
        <f t="shared" si="8"/>
        <v>1.1576462142925135</v>
      </c>
      <c r="G32" s="60">
        <f t="shared" si="5"/>
        <v>1.6201922731166649</v>
      </c>
      <c r="H32" s="60">
        <f t="shared" si="5"/>
        <v>3.7746011231795928</v>
      </c>
      <c r="I32" s="60">
        <f t="shared" si="5"/>
        <v>1.2903001491227144</v>
      </c>
      <c r="J32" s="60">
        <f t="shared" si="5"/>
        <v>6.6850935454189715</v>
      </c>
      <c r="K32" s="60"/>
      <c r="L32" s="60">
        <f t="shared" si="6"/>
        <v>2.8622042663902789E-3</v>
      </c>
      <c r="M32" s="60"/>
      <c r="N32" s="60">
        <f t="shared" si="9"/>
        <v>2.8622042663902789E-3</v>
      </c>
      <c r="O32" s="60">
        <f t="shared" si="9"/>
        <v>7.7556502702188198E-3</v>
      </c>
      <c r="P32" s="60">
        <f t="shared" si="9"/>
        <v>1.724247247575434E-2</v>
      </c>
      <c r="Q32" s="60">
        <f t="shared" si="9"/>
        <v>0</v>
      </c>
      <c r="R32" s="60">
        <f t="shared" si="9"/>
        <v>2.4998122745973163E-2</v>
      </c>
      <c r="S32" s="88"/>
      <c r="T32" s="88"/>
      <c r="U32" s="51">
        <v>8.73</v>
      </c>
      <c r="V32" s="51" t="s">
        <v>98</v>
      </c>
    </row>
    <row r="33" spans="1:22" ht="16.5" customHeight="1" x14ac:dyDescent="0.3">
      <c r="A33" s="58">
        <v>2362</v>
      </c>
      <c r="B33" s="55" t="s">
        <v>42</v>
      </c>
      <c r="C33" s="60">
        <f>U33/T9*C9</f>
        <v>1.0344391505293327</v>
      </c>
      <c r="D33" s="60">
        <f>U33/T9*D9</f>
        <v>1.9772693885968717</v>
      </c>
      <c r="E33" s="60">
        <f>U33/T9*E9</f>
        <v>0.74500592260425369</v>
      </c>
      <c r="F33" s="60">
        <f t="shared" si="8"/>
        <v>3.7567144617304584</v>
      </c>
      <c r="G33" s="60">
        <f t="shared" si="5"/>
        <v>5.2577373536535061</v>
      </c>
      <c r="H33" s="60">
        <f t="shared" si="5"/>
        <v>12.249077871669858</v>
      </c>
      <c r="I33" s="60">
        <f t="shared" si="5"/>
        <v>4.18719395471323</v>
      </c>
      <c r="J33" s="60">
        <f t="shared" si="5"/>
        <v>21.694009180036591</v>
      </c>
      <c r="K33" s="60"/>
      <c r="L33" s="60">
        <f t="shared" si="6"/>
        <v>9.2882298816536757E-3</v>
      </c>
      <c r="M33" s="60"/>
      <c r="N33" s="60">
        <f t="shared" si="9"/>
        <v>9.2882298816536757E-3</v>
      </c>
      <c r="O33" s="60">
        <f t="shared" si="9"/>
        <v>2.5168106776093831E-2</v>
      </c>
      <c r="P33" s="60">
        <f t="shared" si="9"/>
        <v>5.5954094528994316E-2</v>
      </c>
      <c r="Q33" s="60">
        <f t="shared" si="9"/>
        <v>0</v>
      </c>
      <c r="R33" s="60">
        <f t="shared" si="9"/>
        <v>8.1122201305088154E-2</v>
      </c>
      <c r="S33" s="88"/>
      <c r="T33" s="88"/>
      <c r="U33" s="51">
        <v>28.33</v>
      </c>
      <c r="V33" s="51" t="s">
        <v>101</v>
      </c>
    </row>
    <row r="34" spans="1:22" x14ac:dyDescent="0.3">
      <c r="A34" s="58" t="s">
        <v>13</v>
      </c>
      <c r="B34" s="55" t="s">
        <v>43</v>
      </c>
      <c r="C34" s="60">
        <v>0</v>
      </c>
      <c r="D34" s="60">
        <v>0</v>
      </c>
      <c r="E34" s="60">
        <v>0</v>
      </c>
      <c r="F34" s="60">
        <f t="shared" si="8"/>
        <v>0</v>
      </c>
      <c r="G34" s="60">
        <f t="shared" si="5"/>
        <v>0</v>
      </c>
      <c r="H34" s="60">
        <f t="shared" si="5"/>
        <v>0</v>
      </c>
      <c r="I34" s="60">
        <f t="shared" si="5"/>
        <v>0</v>
      </c>
      <c r="J34" s="60">
        <f t="shared" si="5"/>
        <v>0</v>
      </c>
      <c r="K34" s="60"/>
      <c r="L34" s="60">
        <f t="shared" si="6"/>
        <v>0</v>
      </c>
      <c r="M34" s="60"/>
      <c r="N34" s="60">
        <f t="shared" si="9"/>
        <v>0</v>
      </c>
      <c r="O34" s="60">
        <f t="shared" si="9"/>
        <v>0</v>
      </c>
      <c r="P34" s="60">
        <f t="shared" si="9"/>
        <v>0</v>
      </c>
      <c r="Q34" s="60">
        <f t="shared" si="9"/>
        <v>0</v>
      </c>
      <c r="R34" s="60">
        <f t="shared" si="9"/>
        <v>0</v>
      </c>
      <c r="S34" s="88"/>
      <c r="T34" s="88"/>
      <c r="U34" s="51">
        <v>0</v>
      </c>
      <c r="V34" s="51" t="s">
        <v>43</v>
      </c>
    </row>
    <row r="35" spans="1:22" x14ac:dyDescent="0.3">
      <c r="A35" s="56"/>
      <c r="B35" s="61" t="s">
        <v>44</v>
      </c>
      <c r="C35" s="60">
        <f>SUM(C16:C34)</f>
        <v>68.829052122619061</v>
      </c>
      <c r="D35" s="60">
        <f t="shared" ref="D35:R35" si="10">SUM(D16:D34)</f>
        <v>131.56267117167093</v>
      </c>
      <c r="E35" s="60">
        <f t="shared" si="10"/>
        <v>49.570872730743595</v>
      </c>
      <c r="F35" s="60">
        <f t="shared" si="10"/>
        <v>249.96259602503358</v>
      </c>
      <c r="G35" s="60">
        <f t="shared" si="10"/>
        <v>349.83698961555956</v>
      </c>
      <c r="H35" s="60">
        <f t="shared" si="10"/>
        <v>815.02369554725908</v>
      </c>
      <c r="I35" s="60">
        <f t="shared" si="10"/>
        <v>278.60564906983387</v>
      </c>
      <c r="J35" s="60">
        <f t="shared" si="10"/>
        <v>1443.4663342326528</v>
      </c>
      <c r="K35" s="60"/>
      <c r="L35" s="60">
        <f t="shared" si="10"/>
        <v>0.61801610884900515</v>
      </c>
      <c r="M35" s="60"/>
      <c r="N35" s="60">
        <f t="shared" si="10"/>
        <v>0.61801610884900515</v>
      </c>
      <c r="O35" s="60">
        <f t="shared" si="10"/>
        <v>1.6746242949456915</v>
      </c>
      <c r="P35" s="60">
        <f t="shared" si="10"/>
        <v>3.7230486557274749</v>
      </c>
      <c r="Q35" s="60">
        <f t="shared" si="10"/>
        <v>0</v>
      </c>
      <c r="R35" s="60">
        <f t="shared" si="10"/>
        <v>5.3976729506731687</v>
      </c>
      <c r="S35" s="88"/>
      <c r="T35" s="88"/>
    </row>
    <row r="36" spans="1:22" ht="20.25" customHeight="1" x14ac:dyDescent="0.3">
      <c r="A36" s="55"/>
      <c r="B36" s="55" t="s">
        <v>45</v>
      </c>
      <c r="C36" s="60">
        <f>C14+C35</f>
        <v>361.12763828857896</v>
      </c>
      <c r="D36" s="60">
        <f t="shared" ref="D36:R36" si="11">D14+D35</f>
        <v>690.27416856651826</v>
      </c>
      <c r="E36" s="60">
        <f t="shared" si="11"/>
        <v>260.08511878480851</v>
      </c>
      <c r="F36" s="60">
        <f t="shared" si="11"/>
        <v>1311.4869256399056</v>
      </c>
      <c r="G36" s="60">
        <f t="shared" si="11"/>
        <v>1835.5011721036876</v>
      </c>
      <c r="H36" s="60">
        <f t="shared" si="11"/>
        <v>4276.2114724152589</v>
      </c>
      <c r="I36" s="60">
        <f t="shared" si="11"/>
        <v>1461.7693685975062</v>
      </c>
      <c r="J36" s="60">
        <f t="shared" si="11"/>
        <v>7573.4820131164533</v>
      </c>
      <c r="K36" s="60"/>
      <c r="L36" s="60">
        <f t="shared" si="11"/>
        <v>3.2425653256903533</v>
      </c>
      <c r="M36" s="60"/>
      <c r="N36" s="60">
        <f t="shared" si="11"/>
        <v>3.2425653256903533</v>
      </c>
      <c r="O36" s="60">
        <f t="shared" si="11"/>
        <v>8.7863060438061193</v>
      </c>
      <c r="P36" s="60">
        <f t="shared" si="11"/>
        <v>19.533841115247533</v>
      </c>
      <c r="Q36" s="60">
        <f t="shared" si="11"/>
        <v>0</v>
      </c>
      <c r="R36" s="60">
        <f t="shared" si="11"/>
        <v>28.320147159053654</v>
      </c>
    </row>
    <row r="37" spans="1:22" ht="33.75" customHeight="1" x14ac:dyDescent="0.3">
      <c r="A37" s="55"/>
      <c r="B37" s="55" t="s">
        <v>46</v>
      </c>
      <c r="C37" s="62">
        <v>267</v>
      </c>
      <c r="D37" s="62">
        <v>266</v>
      </c>
      <c r="E37" s="62">
        <v>240</v>
      </c>
      <c r="F37" s="62" t="s">
        <v>47</v>
      </c>
      <c r="G37" s="62">
        <v>1256</v>
      </c>
      <c r="H37" s="62">
        <v>1256</v>
      </c>
      <c r="I37" s="62">
        <v>1168</v>
      </c>
      <c r="J37" s="62" t="s">
        <v>47</v>
      </c>
      <c r="K37" s="81"/>
      <c r="L37" s="81">
        <v>1</v>
      </c>
      <c r="M37" s="81"/>
      <c r="N37" s="81" t="s">
        <v>47</v>
      </c>
      <c r="O37" s="81">
        <v>4</v>
      </c>
      <c r="P37" s="81">
        <v>5</v>
      </c>
      <c r="Q37" s="81">
        <v>0</v>
      </c>
      <c r="R37" s="81" t="s">
        <v>47</v>
      </c>
    </row>
    <row r="38" spans="1:22" ht="50.25" customHeight="1" x14ac:dyDescent="0.3">
      <c r="A38" s="55"/>
      <c r="B38" s="55" t="s">
        <v>122</v>
      </c>
      <c r="C38" s="60">
        <f>C14/C37</f>
        <v>1.0947512590485389</v>
      </c>
      <c r="D38" s="60">
        <f t="shared" ref="D38:E38" si="12">D14/D37</f>
        <v>2.1004191631385241</v>
      </c>
      <c r="E38" s="60">
        <f t="shared" si="12"/>
        <v>0.87714269189193717</v>
      </c>
      <c r="F38" s="60">
        <f>SUM(C38:E38)</f>
        <v>4.0723131140789999</v>
      </c>
      <c r="G38" s="60">
        <f>G14/G37</f>
        <v>1.1828536484778089</v>
      </c>
      <c r="H38" s="63">
        <f t="shared" ref="H38:I38" si="13">H14/H37</f>
        <v>2.7557227522834391</v>
      </c>
      <c r="I38" s="60">
        <f t="shared" si="13"/>
        <v>1.0129826365819112</v>
      </c>
      <c r="J38" s="60">
        <f>SUM(G38:I38)</f>
        <v>4.9515590373431593</v>
      </c>
      <c r="K38" s="60"/>
      <c r="L38" s="60">
        <f>L14/L37</f>
        <v>2.624549216841348</v>
      </c>
      <c r="M38" s="60"/>
      <c r="N38" s="60">
        <f>SUM(K38:M38)</f>
        <v>2.624549216841348</v>
      </c>
      <c r="O38" s="60">
        <f>O14/O37</f>
        <v>1.777920437215107</v>
      </c>
      <c r="P38" s="60">
        <f>P14/P37</f>
        <v>3.1621584919040115</v>
      </c>
      <c r="Q38" s="60"/>
      <c r="R38" s="60">
        <f>SUM(O38:Q38)</f>
        <v>4.9400789291191183</v>
      </c>
    </row>
    <row r="39" spans="1:22" ht="51.75" customHeight="1" x14ac:dyDescent="0.3">
      <c r="A39" s="55"/>
      <c r="B39" s="55" t="s">
        <v>125</v>
      </c>
      <c r="C39" s="59">
        <f>C9/C37</f>
        <v>0.51722846441947568</v>
      </c>
      <c r="D39" s="59">
        <f>D9/D37</f>
        <v>0.99236842105263168</v>
      </c>
      <c r="E39" s="59">
        <f>E9/E37</f>
        <v>0.41441666666666666</v>
      </c>
      <c r="F39" s="59">
        <f>SUM(C39:E39)</f>
        <v>1.924013552138774</v>
      </c>
      <c r="G39" s="59">
        <f>G9/G37</f>
        <v>0.55885350318471338</v>
      </c>
      <c r="H39" s="59">
        <f>H9/H37</f>
        <v>1.3019745222929937</v>
      </c>
      <c r="I39" s="59">
        <f>I9/I37</f>
        <v>0.4785958904109589</v>
      </c>
      <c r="J39" s="59">
        <f>G39+H39+I39</f>
        <v>2.3394239158886663</v>
      </c>
      <c r="K39" s="59"/>
      <c r="L39" s="59">
        <f>L9/L37</f>
        <v>1.24</v>
      </c>
      <c r="M39" s="59"/>
      <c r="N39" s="59">
        <f>SUM(K39:M39)</f>
        <v>1.24</v>
      </c>
      <c r="O39" s="59">
        <f>O9/O37</f>
        <v>0.84</v>
      </c>
      <c r="P39" s="59">
        <f>P9/P37</f>
        <v>1.494</v>
      </c>
      <c r="Q39" s="59">
        <v>0</v>
      </c>
      <c r="R39" s="59"/>
    </row>
  </sheetData>
  <mergeCells count="6">
    <mergeCell ref="L1:R1"/>
    <mergeCell ref="A6:B6"/>
    <mergeCell ref="C6:F6"/>
    <mergeCell ref="G6:J6"/>
    <mergeCell ref="K6:N6"/>
    <mergeCell ref="O6:R6"/>
  </mergeCells>
  <pageMargins left="0.7" right="0.7" top="0.75" bottom="0.75" header="0.3" footer="0.3"/>
  <pageSetup paperSize="9" scale="6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5B5B-78C3-4057-ADE8-B6B12EE23186}">
  <dimension ref="A1:BE88"/>
  <sheetViews>
    <sheetView zoomScale="98" zoomScaleNormal="98" workbookViewId="0">
      <selection activeCell="S1" sqref="S1"/>
    </sheetView>
  </sheetViews>
  <sheetFormatPr defaultRowHeight="14.4" x14ac:dyDescent="0.3"/>
  <cols>
    <col min="2" max="2" width="41.5546875" customWidth="1"/>
    <col min="3" max="3" width="10.44140625" customWidth="1"/>
    <col min="4" max="4" width="11" customWidth="1"/>
    <col min="7" max="7" width="11" customWidth="1"/>
    <col min="8" max="8" width="10.5546875" customWidth="1"/>
    <col min="11" max="11" width="11.88671875" customWidth="1"/>
    <col min="14" max="16" width="9.109375" style="48" hidden="1" customWidth="1"/>
    <col min="17" max="17" width="30.5546875" style="48" hidden="1" customWidth="1"/>
    <col min="18" max="19" width="9.109375" style="32" customWidth="1"/>
    <col min="20" max="57" width="9.109375" style="32"/>
  </cols>
  <sheetData>
    <row r="1" spans="1:22" ht="81" customHeight="1" x14ac:dyDescent="0.3">
      <c r="A1" s="34"/>
      <c r="B1" s="34"/>
      <c r="C1" s="34"/>
      <c r="D1" s="34"/>
      <c r="E1" s="34"/>
      <c r="F1" s="34"/>
      <c r="G1" s="14" t="s">
        <v>148</v>
      </c>
      <c r="H1" s="7"/>
      <c r="I1" s="7"/>
      <c r="J1" s="7"/>
      <c r="K1" s="7"/>
      <c r="L1" s="7"/>
      <c r="M1" s="7"/>
      <c r="N1" s="43"/>
    </row>
    <row r="2" spans="1:22" ht="15" customHeight="1" x14ac:dyDescent="0.3">
      <c r="A2" s="21"/>
      <c r="B2" s="21"/>
      <c r="C2" s="22"/>
      <c r="D2" s="22"/>
      <c r="E2" s="22"/>
      <c r="F2" s="27"/>
      <c r="G2" s="27"/>
      <c r="H2" s="27"/>
      <c r="I2" s="27"/>
      <c r="J2" s="27"/>
      <c r="K2" s="27"/>
      <c r="L2" s="23"/>
      <c r="M2" s="23"/>
      <c r="N2" s="43"/>
    </row>
    <row r="3" spans="1:22" ht="15" customHeight="1" x14ac:dyDescent="0.3">
      <c r="A3" s="35" t="s">
        <v>14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5"/>
      <c r="M3" s="15"/>
      <c r="N3" s="43"/>
    </row>
    <row r="4" spans="1:22" x14ac:dyDescent="0.3">
      <c r="A4" s="20" t="s">
        <v>109</v>
      </c>
      <c r="B4" s="34"/>
      <c r="C4" s="18"/>
      <c r="D4" s="19"/>
      <c r="E4" s="19"/>
      <c r="F4" s="19"/>
      <c r="G4" s="19"/>
      <c r="H4" s="19"/>
      <c r="I4" s="19"/>
      <c r="J4" s="19"/>
      <c r="K4" s="19"/>
      <c r="L4" s="15"/>
      <c r="M4" s="15"/>
      <c r="N4" s="43"/>
    </row>
    <row r="5" spans="1:22" x14ac:dyDescent="0.3">
      <c r="B5" s="28"/>
    </row>
    <row r="6" spans="1:22" ht="46.8" x14ac:dyDescent="0.3">
      <c r="A6" s="9" t="s">
        <v>88</v>
      </c>
      <c r="B6" s="8"/>
      <c r="C6" s="11" t="s">
        <v>119</v>
      </c>
      <c r="D6" s="11"/>
      <c r="E6" s="11"/>
      <c r="F6" s="11"/>
      <c r="G6" s="11" t="s">
        <v>120</v>
      </c>
      <c r="H6" s="11"/>
      <c r="I6" s="11"/>
      <c r="J6" s="11"/>
      <c r="K6" s="2" t="s">
        <v>121</v>
      </c>
      <c r="L6" s="2"/>
      <c r="M6" s="1"/>
      <c r="N6" s="73"/>
      <c r="O6" s="74" t="s">
        <v>84</v>
      </c>
      <c r="P6" s="74" t="s">
        <v>85</v>
      </c>
    </row>
    <row r="7" spans="1:22" ht="15.6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114" t="s">
        <v>2</v>
      </c>
      <c r="L7" s="114" t="s">
        <v>3</v>
      </c>
      <c r="M7" s="114" t="s">
        <v>4</v>
      </c>
      <c r="N7" s="73"/>
      <c r="O7" s="73"/>
      <c r="P7" s="73"/>
    </row>
    <row r="8" spans="1:22" ht="24" customHeight="1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114"/>
      <c r="L8" s="114"/>
      <c r="M8" s="114"/>
      <c r="N8" s="73"/>
      <c r="O8" s="73"/>
      <c r="P8" s="73"/>
    </row>
    <row r="9" spans="1:22" ht="17.25" customHeight="1" x14ac:dyDescent="0.3">
      <c r="A9" s="58">
        <v>2363</v>
      </c>
      <c r="B9" s="55" t="s">
        <v>18</v>
      </c>
      <c r="C9" s="59">
        <v>67.87</v>
      </c>
      <c r="D9" s="59">
        <v>139.29</v>
      </c>
      <c r="E9" s="59">
        <v>61.76</v>
      </c>
      <c r="F9" s="59">
        <f>C9+D9+E9</f>
        <v>268.92</v>
      </c>
      <c r="G9" s="59">
        <v>251.16</v>
      </c>
      <c r="H9" s="59">
        <v>488.58</v>
      </c>
      <c r="I9" s="59">
        <v>238.25</v>
      </c>
      <c r="J9" s="59">
        <f>SUM(G9:I9)</f>
        <v>977.99</v>
      </c>
      <c r="K9" s="114">
        <v>293.14999999999998</v>
      </c>
      <c r="L9" s="114">
        <v>76.08</v>
      </c>
      <c r="M9" s="114">
        <v>369.22999999999996</v>
      </c>
      <c r="N9" s="73"/>
      <c r="O9" s="77">
        <v>1711.21</v>
      </c>
      <c r="P9" s="73"/>
      <c r="S9" s="32">
        <v>1711.21</v>
      </c>
    </row>
    <row r="10" spans="1:22" ht="18.75" customHeight="1" x14ac:dyDescent="0.3">
      <c r="A10" s="58">
        <v>1100</v>
      </c>
      <c r="B10" s="55" t="s">
        <v>19</v>
      </c>
      <c r="C10" s="60">
        <f>P10/O9*C9</f>
        <v>53.880818251412748</v>
      </c>
      <c r="D10" s="60">
        <f>P10/O9*D9</f>
        <v>110.57992005656816</v>
      </c>
      <c r="E10" s="60">
        <f>P10/O9*E9</f>
        <v>49.030195008210562</v>
      </c>
      <c r="F10" s="60">
        <f>SUM(C10:E10)</f>
        <v>213.49093331619147</v>
      </c>
      <c r="G10" s="59">
        <f>P10/O9*G9</f>
        <v>199.39157672056615</v>
      </c>
      <c r="H10" s="59">
        <f>P10/O9*H9</f>
        <v>387.87520526411134</v>
      </c>
      <c r="I10" s="59">
        <f>P10/O9*I9</f>
        <v>189.14255117723715</v>
      </c>
      <c r="J10" s="59">
        <f>SUM(G10:I10)</f>
        <v>776.40933316191456</v>
      </c>
      <c r="K10" s="114">
        <v>232.7267109238492</v>
      </c>
      <c r="L10" s="114">
        <v>60.39859514612467</v>
      </c>
      <c r="M10" s="114">
        <v>293.12530606997387</v>
      </c>
      <c r="N10" s="73"/>
      <c r="O10" s="73"/>
      <c r="P10" s="77">
        <v>1358.5</v>
      </c>
    </row>
    <row r="11" spans="1:22" ht="42" customHeight="1" x14ac:dyDescent="0.3">
      <c r="A11" s="58">
        <v>1200</v>
      </c>
      <c r="B11" s="55" t="s">
        <v>20</v>
      </c>
      <c r="C11" s="60">
        <f>P11/O9*C9</f>
        <v>12.710485025508266</v>
      </c>
      <c r="D11" s="60">
        <f>P11/O9*D9</f>
        <v>26.085803141344428</v>
      </c>
      <c r="E11" s="60">
        <f>P11/O9*E9</f>
        <v>11.566223002436871</v>
      </c>
      <c r="F11" s="60">
        <f>SUM(C11:E11)</f>
        <v>50.362511169289562</v>
      </c>
      <c r="G11" s="59">
        <f>P11/O9*G9</f>
        <v>47.036472948381551</v>
      </c>
      <c r="H11" s="59">
        <f>P11/O9*H9</f>
        <v>91.499760921803869</v>
      </c>
      <c r="I11" s="59">
        <f>P11/O9*I9</f>
        <v>44.618727822710248</v>
      </c>
      <c r="J11" s="59">
        <f>SUM(G11:I11)</f>
        <v>183.15496169289565</v>
      </c>
      <c r="K11" s="114">
        <v>54.900231106936026</v>
      </c>
      <c r="L11" s="114">
        <v>14.24802859497081</v>
      </c>
      <c r="M11" s="114">
        <v>69.148259701906838</v>
      </c>
      <c r="N11" s="73"/>
      <c r="O11" s="73"/>
      <c r="P11" s="73">
        <f>P10*0.2359</f>
        <v>320.47014999999999</v>
      </c>
    </row>
    <row r="12" spans="1:22" ht="16.5" customHeight="1" x14ac:dyDescent="0.3">
      <c r="A12" s="58">
        <v>2222</v>
      </c>
      <c r="B12" s="55" t="s">
        <v>21</v>
      </c>
      <c r="C12" s="60">
        <f>P12/O9*C9</f>
        <v>8.2600067788290161</v>
      </c>
      <c r="D12" s="60">
        <f>P12/O9*D9</f>
        <v>16.952060471829874</v>
      </c>
      <c r="E12" s="60">
        <f>P12/O9*E9</f>
        <v>7.5163992730290259</v>
      </c>
      <c r="F12" s="60">
        <f t="shared" ref="F12:F13" si="0">SUM(C12:E12)</f>
        <v>32.728466523687914</v>
      </c>
      <c r="G12" s="59">
        <f>P12/O9*G9</f>
        <v>30.567014919267653</v>
      </c>
      <c r="H12" s="59">
        <f>P12/O9*H9</f>
        <v>59.461825725656112</v>
      </c>
      <c r="I12" s="59">
        <f>P12/O9*I9</f>
        <v>28.995824591955401</v>
      </c>
      <c r="J12" s="59">
        <f t="shared" ref="J12:J13" si="1">SUM(G12:I12)</f>
        <v>119.02466523687916</v>
      </c>
      <c r="K12" s="114">
        <v>171.65415115619942</v>
      </c>
      <c r="L12" s="114">
        <v>44.548687770641827</v>
      </c>
      <c r="M12" s="114">
        <v>216.20283892684125</v>
      </c>
      <c r="N12" s="77">
        <f>F12+J12+M12</f>
        <v>367.95597068740835</v>
      </c>
      <c r="O12" s="73"/>
      <c r="P12" s="73">
        <f>1602*0.13</f>
        <v>208.26000000000002</v>
      </c>
      <c r="Q12" s="43"/>
    </row>
    <row r="13" spans="1:22" ht="21.75" customHeight="1" x14ac:dyDescent="0.3">
      <c r="A13" s="58">
        <v>2223</v>
      </c>
      <c r="B13" s="55" t="s">
        <v>22</v>
      </c>
      <c r="C13" s="60">
        <f>P13/O9*C9</f>
        <v>49.828155749440455</v>
      </c>
      <c r="D13" s="60">
        <f>P13/O9*D9</f>
        <v>102.26261697862914</v>
      </c>
      <c r="E13" s="60">
        <f>P13/O9*E9</f>
        <v>45.342373642042759</v>
      </c>
      <c r="F13" s="60">
        <f t="shared" si="0"/>
        <v>197.43314637011235</v>
      </c>
      <c r="G13" s="59">
        <f>P13/O9*G9</f>
        <v>184.39427726579436</v>
      </c>
      <c r="H13" s="59">
        <f>P13/O9*H9</f>
        <v>358.70105106912649</v>
      </c>
      <c r="I13" s="59">
        <f>P13/O9*I9</f>
        <v>174.91613536620284</v>
      </c>
      <c r="J13" s="59">
        <f t="shared" si="1"/>
        <v>718.01146370112372</v>
      </c>
      <c r="K13" s="114">
        <f>P13/O9*K9</f>
        <v>215.22209898259123</v>
      </c>
      <c r="L13" s="114">
        <f>P13/O9*L9</f>
        <v>55.855696027956817</v>
      </c>
      <c r="M13" s="114">
        <v>2198.7095096452213</v>
      </c>
      <c r="N13" s="77">
        <f t="shared" ref="N13:N14" si="2">F13+J13+M13</f>
        <v>3114.1541197164574</v>
      </c>
      <c r="O13" s="73"/>
      <c r="P13" s="73">
        <f>9664*0.13</f>
        <v>1256.32</v>
      </c>
      <c r="Q13" s="43"/>
    </row>
    <row r="14" spans="1:22" ht="23.25" customHeight="1" x14ac:dyDescent="0.3">
      <c r="A14" s="56"/>
      <c r="B14" s="61" t="s">
        <v>23</v>
      </c>
      <c r="C14" s="60">
        <f>SUM(C9:C13)</f>
        <v>192.54946580519049</v>
      </c>
      <c r="D14" s="60">
        <f t="shared" ref="D14:M14" si="3">SUM(D9:D13)</f>
        <v>395.17040064837158</v>
      </c>
      <c r="E14" s="60">
        <f t="shared" si="3"/>
        <v>175.21519092571921</v>
      </c>
      <c r="F14" s="60">
        <f t="shared" si="3"/>
        <v>762.93505737928126</v>
      </c>
      <c r="G14" s="60">
        <f t="shared" si="3"/>
        <v>712.54934185400975</v>
      </c>
      <c r="H14" s="60">
        <f t="shared" si="3"/>
        <v>1386.1178429806978</v>
      </c>
      <c r="I14" s="60">
        <f t="shared" si="3"/>
        <v>675.92323895810557</v>
      </c>
      <c r="J14" s="60">
        <f t="shared" si="3"/>
        <v>2774.590423792813</v>
      </c>
      <c r="K14" s="60">
        <f t="shared" si="3"/>
        <v>967.65319216957585</v>
      </c>
      <c r="L14" s="60">
        <f t="shared" si="3"/>
        <v>251.13100753969411</v>
      </c>
      <c r="M14" s="60">
        <f t="shared" si="3"/>
        <v>3146.4159143439429</v>
      </c>
      <c r="N14" s="77">
        <f t="shared" si="2"/>
        <v>6683.9413955160371</v>
      </c>
      <c r="O14" s="73"/>
      <c r="P14" s="77">
        <f>SUM(P10:P13)</f>
        <v>3143.55015</v>
      </c>
    </row>
    <row r="15" spans="1:22" ht="25.5" customHeight="1" x14ac:dyDescent="0.3">
      <c r="A15" s="56"/>
      <c r="B15" s="55" t="s">
        <v>24</v>
      </c>
      <c r="C15" s="60"/>
      <c r="D15" s="60"/>
      <c r="E15" s="60"/>
      <c r="F15" s="60"/>
      <c r="G15" s="59"/>
      <c r="H15" s="59"/>
      <c r="I15" s="59"/>
      <c r="J15" s="59"/>
      <c r="K15" s="114"/>
      <c r="L15" s="114"/>
      <c r="M15" s="114"/>
      <c r="N15" s="73"/>
      <c r="O15" s="73"/>
      <c r="P15" s="73"/>
    </row>
    <row r="16" spans="1:22" ht="19.5" customHeight="1" x14ac:dyDescent="0.3">
      <c r="A16" s="58">
        <v>1100</v>
      </c>
      <c r="B16" s="55" t="s">
        <v>25</v>
      </c>
      <c r="C16" s="60">
        <f t="shared" ref="C16:J25" si="4">$T16/$S$9*C$9</f>
        <v>45.02429508943964</v>
      </c>
      <c r="D16" s="60">
        <f t="shared" si="4"/>
        <v>92.403625504759788</v>
      </c>
      <c r="E16" s="60">
        <f t="shared" si="4"/>
        <v>40.970980767994575</v>
      </c>
      <c r="F16" s="60">
        <f t="shared" si="4"/>
        <v>178.39890136219401</v>
      </c>
      <c r="G16" s="60">
        <f t="shared" si="4"/>
        <v>166.617090830465</v>
      </c>
      <c r="H16" s="60">
        <f t="shared" si="4"/>
        <v>324.11919986442342</v>
      </c>
      <c r="I16" s="60">
        <f t="shared" si="4"/>
        <v>158.05272292705163</v>
      </c>
      <c r="J16" s="60">
        <f t="shared" si="4"/>
        <v>648.78901362194006</v>
      </c>
      <c r="K16" s="114">
        <v>194.47284669911934</v>
      </c>
      <c r="L16" s="114">
        <v>50.470728899433738</v>
      </c>
      <c r="M16" s="114">
        <v>244.94357559855305</v>
      </c>
      <c r="N16" s="73"/>
      <c r="O16" s="73"/>
      <c r="P16" s="73"/>
      <c r="T16" s="30">
        <v>1135.2</v>
      </c>
      <c r="U16" s="37">
        <v>1100</v>
      </c>
      <c r="V16" s="30"/>
    </row>
    <row r="17" spans="1:22" ht="59.25" customHeight="1" x14ac:dyDescent="0.3">
      <c r="A17" s="58">
        <v>1200</v>
      </c>
      <c r="B17" s="55" t="s">
        <v>26</v>
      </c>
      <c r="C17" s="60">
        <f t="shared" si="4"/>
        <v>10.621231211598811</v>
      </c>
      <c r="D17" s="60">
        <f t="shared" si="4"/>
        <v>21.798015256572832</v>
      </c>
      <c r="E17" s="60">
        <f t="shared" si="4"/>
        <v>9.6650543631699204</v>
      </c>
      <c r="F17" s="60">
        <f t="shared" si="4"/>
        <v>42.084300831341565</v>
      </c>
      <c r="G17" s="60">
        <f t="shared" si="4"/>
        <v>39.304971726906693</v>
      </c>
      <c r="H17" s="60">
        <f t="shared" si="4"/>
        <v>76.459719248017478</v>
      </c>
      <c r="I17" s="60">
        <f t="shared" si="4"/>
        <v>37.284637338491478</v>
      </c>
      <c r="J17" s="60">
        <f t="shared" si="4"/>
        <v>153.04932831341566</v>
      </c>
      <c r="K17" s="114">
        <v>45.876144536322251</v>
      </c>
      <c r="L17" s="114">
        <v>11.906044947376417</v>
      </c>
      <c r="M17" s="114">
        <v>57.782189483698666</v>
      </c>
      <c r="N17" s="73"/>
      <c r="O17" s="73"/>
      <c r="P17" s="73"/>
      <c r="T17" s="30">
        <f>T16*0.2359</f>
        <v>267.79367999999999</v>
      </c>
      <c r="U17" s="37">
        <v>1200</v>
      </c>
      <c r="V17" s="30"/>
    </row>
    <row r="18" spans="1:22" ht="25.5" customHeight="1" x14ac:dyDescent="0.3">
      <c r="A18" s="58">
        <v>2210</v>
      </c>
      <c r="B18" s="55" t="s">
        <v>27</v>
      </c>
      <c r="C18" s="60">
        <f t="shared" si="4"/>
        <v>0.42795291051361317</v>
      </c>
      <c r="D18" s="60">
        <f t="shared" si="4"/>
        <v>0.8782902741335078</v>
      </c>
      <c r="E18" s="60">
        <f t="shared" si="4"/>
        <v>0.38942642925181592</v>
      </c>
      <c r="F18" s="60">
        <f t="shared" si="4"/>
        <v>1.6956696138989369</v>
      </c>
      <c r="G18" s="60">
        <f t="shared" si="4"/>
        <v>1.5836842935700468</v>
      </c>
      <c r="H18" s="60">
        <f t="shared" si="4"/>
        <v>3.0807312953991617</v>
      </c>
      <c r="I18" s="60">
        <f t="shared" si="4"/>
        <v>1.502280550020161</v>
      </c>
      <c r="J18" s="60">
        <f t="shared" si="4"/>
        <v>6.1666961389893693</v>
      </c>
      <c r="K18" s="114">
        <v>1.8484513881989935</v>
      </c>
      <c r="L18" s="114">
        <v>0.47972089924673178</v>
      </c>
      <c r="M18" s="114">
        <v>2.3281722874457249</v>
      </c>
      <c r="N18" s="73"/>
      <c r="O18" s="73"/>
      <c r="P18" s="73"/>
      <c r="T18" s="36">
        <v>10.79</v>
      </c>
      <c r="U18" s="37">
        <v>2210</v>
      </c>
      <c r="V18" s="36" t="s">
        <v>108</v>
      </c>
    </row>
    <row r="19" spans="1:22" ht="15.6" x14ac:dyDescent="0.3">
      <c r="A19" s="58">
        <v>2221</v>
      </c>
      <c r="B19" s="55" t="s">
        <v>28</v>
      </c>
      <c r="C19" s="60">
        <f t="shared" si="4"/>
        <v>6.6433839213188328</v>
      </c>
      <c r="D19" s="60">
        <f t="shared" si="4"/>
        <v>13.63425587742007</v>
      </c>
      <c r="E19" s="60">
        <f t="shared" si="4"/>
        <v>6.0453129656792557</v>
      </c>
      <c r="F19" s="60">
        <f t="shared" si="4"/>
        <v>26.322952764418162</v>
      </c>
      <c r="G19" s="60">
        <f t="shared" si="4"/>
        <v>24.584533750971534</v>
      </c>
      <c r="H19" s="60">
        <f t="shared" si="4"/>
        <v>47.824141981404971</v>
      </c>
      <c r="I19" s="60">
        <f t="shared" si="4"/>
        <v>23.320851911805097</v>
      </c>
      <c r="J19" s="60">
        <f t="shared" si="4"/>
        <v>95.729527644181601</v>
      </c>
      <c r="K19" s="114">
        <v>28.694680956749899</v>
      </c>
      <c r="L19" s="114">
        <v>7.4470111792240576</v>
      </c>
      <c r="M19" s="114">
        <v>36.141692135973955</v>
      </c>
      <c r="N19" s="73"/>
      <c r="O19" s="73"/>
      <c r="P19" s="73"/>
      <c r="T19" s="36">
        <v>167.5</v>
      </c>
      <c r="U19" s="37">
        <v>2221</v>
      </c>
      <c r="V19" s="36" t="s">
        <v>89</v>
      </c>
    </row>
    <row r="20" spans="1:22" ht="25.5" customHeight="1" x14ac:dyDescent="0.3">
      <c r="A20" s="58">
        <v>2224</v>
      </c>
      <c r="B20" s="55" t="s">
        <v>29</v>
      </c>
      <c r="C20" s="60">
        <f t="shared" si="4"/>
        <v>0.21417476522460718</v>
      </c>
      <c r="D20" s="60">
        <f t="shared" si="4"/>
        <v>0.43955212977951275</v>
      </c>
      <c r="E20" s="60">
        <f t="shared" si="4"/>
        <v>0.19489367172936109</v>
      </c>
      <c r="F20" s="60">
        <f t="shared" si="4"/>
        <v>0.84862056673348107</v>
      </c>
      <c r="G20" s="60">
        <f t="shared" si="4"/>
        <v>0.79257601346415696</v>
      </c>
      <c r="H20" s="60">
        <f t="shared" si="4"/>
        <v>1.5417932340273841</v>
      </c>
      <c r="I20" s="60">
        <f t="shared" si="4"/>
        <v>0.75183641984326888</v>
      </c>
      <c r="J20" s="60">
        <f t="shared" si="4"/>
        <v>3.0862056673348102</v>
      </c>
      <c r="K20" s="114">
        <v>0.92508225173999681</v>
      </c>
      <c r="L20" s="114">
        <v>0.24008274846453678</v>
      </c>
      <c r="M20" s="114">
        <v>1.1651650002045335</v>
      </c>
      <c r="N20" s="73"/>
      <c r="O20" s="73"/>
      <c r="P20" s="73"/>
      <c r="T20" s="36">
        <v>5.4</v>
      </c>
      <c r="U20" s="37">
        <v>2224</v>
      </c>
      <c r="V20" s="36" t="s">
        <v>90</v>
      </c>
    </row>
    <row r="21" spans="1:22" ht="22.5" customHeight="1" x14ac:dyDescent="0.3">
      <c r="A21" s="58">
        <v>2234</v>
      </c>
      <c r="B21" s="55" t="s">
        <v>30</v>
      </c>
      <c r="C21" s="60">
        <f t="shared" si="4"/>
        <v>3.5695794204101197</v>
      </c>
      <c r="D21" s="60">
        <f t="shared" si="4"/>
        <v>7.3258688296585452</v>
      </c>
      <c r="E21" s="60">
        <f t="shared" si="4"/>
        <v>3.2482278621560181</v>
      </c>
      <c r="F21" s="60">
        <f t="shared" si="4"/>
        <v>14.143676112224684</v>
      </c>
      <c r="G21" s="60">
        <f t="shared" si="4"/>
        <v>13.209600224402616</v>
      </c>
      <c r="H21" s="60">
        <f t="shared" si="4"/>
        <v>25.696553900456401</v>
      </c>
      <c r="I21" s="60">
        <f t="shared" si="4"/>
        <v>12.530606997387814</v>
      </c>
      <c r="J21" s="60">
        <f t="shared" si="4"/>
        <v>51.436761122246835</v>
      </c>
      <c r="K21" s="114">
        <v>15.418037528999946</v>
      </c>
      <c r="L21" s="114">
        <v>4.0013791410756134</v>
      </c>
      <c r="M21" s="114">
        <v>19.419416670075559</v>
      </c>
      <c r="N21" s="73"/>
      <c r="O21" s="73"/>
      <c r="P21" s="73"/>
      <c r="T21" s="36">
        <f>3*30</f>
        <v>90</v>
      </c>
      <c r="U21" s="37">
        <v>2234</v>
      </c>
      <c r="V21" s="36" t="s">
        <v>91</v>
      </c>
    </row>
    <row r="22" spans="1:22" ht="21" customHeight="1" x14ac:dyDescent="0.3">
      <c r="A22" s="58">
        <v>2235</v>
      </c>
      <c r="B22" s="55" t="s">
        <v>31</v>
      </c>
      <c r="C22" s="60">
        <f t="shared" si="4"/>
        <v>2.379719613606746</v>
      </c>
      <c r="D22" s="60">
        <f t="shared" si="4"/>
        <v>4.8839125531056968</v>
      </c>
      <c r="E22" s="60">
        <f t="shared" si="4"/>
        <v>2.1654852414373451</v>
      </c>
      <c r="F22" s="60">
        <f t="shared" si="4"/>
        <v>9.4291174081497893</v>
      </c>
      <c r="G22" s="60">
        <f t="shared" si="4"/>
        <v>8.8064001496017426</v>
      </c>
      <c r="H22" s="60">
        <f t="shared" si="4"/>
        <v>17.131035933637602</v>
      </c>
      <c r="I22" s="60">
        <f t="shared" si="4"/>
        <v>8.3537379982585414</v>
      </c>
      <c r="J22" s="60">
        <f t="shared" si="4"/>
        <v>34.291174081497886</v>
      </c>
      <c r="K22" s="114">
        <v>10.278691685999963</v>
      </c>
      <c r="L22" s="114">
        <v>2.6675860940504084</v>
      </c>
      <c r="M22" s="114">
        <v>12.946277780050371</v>
      </c>
      <c r="N22" s="73"/>
      <c r="O22" s="73"/>
      <c r="P22" s="73"/>
      <c r="T22" s="36">
        <f>3*20</f>
        <v>60</v>
      </c>
      <c r="U22" s="37">
        <v>2235</v>
      </c>
      <c r="V22" s="36" t="s">
        <v>92</v>
      </c>
    </row>
    <row r="23" spans="1:22" ht="20.25" customHeight="1" x14ac:dyDescent="0.3">
      <c r="A23" s="58">
        <v>2243</v>
      </c>
      <c r="B23" s="55" t="s">
        <v>32</v>
      </c>
      <c r="C23" s="60">
        <f t="shared" si="4"/>
        <v>0.40336247450634349</v>
      </c>
      <c r="D23" s="60">
        <f t="shared" si="4"/>
        <v>0.82782317775141556</v>
      </c>
      <c r="E23" s="60">
        <f t="shared" si="4"/>
        <v>0.36704974842363003</v>
      </c>
      <c r="F23" s="60">
        <f t="shared" si="4"/>
        <v>1.5982354006813893</v>
      </c>
      <c r="G23" s="60">
        <f t="shared" si="4"/>
        <v>1.4926848253574956</v>
      </c>
      <c r="H23" s="60">
        <f t="shared" si="4"/>
        <v>2.9037105907515732</v>
      </c>
      <c r="I23" s="60">
        <f t="shared" si="4"/>
        <v>1.4159585907048229</v>
      </c>
      <c r="J23" s="60">
        <f t="shared" si="4"/>
        <v>5.8123540068138917</v>
      </c>
      <c r="K23" s="114">
        <v>1.7422382407769939</v>
      </c>
      <c r="L23" s="114">
        <v>0.45215584294154426</v>
      </c>
      <c r="M23" s="114">
        <v>2.1943940837185378</v>
      </c>
      <c r="N23" s="73"/>
      <c r="O23" s="73"/>
      <c r="P23" s="73"/>
      <c r="T23" s="36">
        <v>10.17</v>
      </c>
      <c r="U23" s="37">
        <v>2243</v>
      </c>
      <c r="V23" s="36" t="s">
        <v>93</v>
      </c>
    </row>
    <row r="24" spans="1:22" ht="23.25" customHeight="1" x14ac:dyDescent="0.3">
      <c r="A24" s="58">
        <v>2244</v>
      </c>
      <c r="B24" s="55" t="s">
        <v>33</v>
      </c>
      <c r="C24" s="60">
        <f t="shared" si="4"/>
        <v>0.26851169640196121</v>
      </c>
      <c r="D24" s="60">
        <f t="shared" si="4"/>
        <v>0.55106813307542613</v>
      </c>
      <c r="E24" s="60">
        <f t="shared" si="4"/>
        <v>0.24433891807551381</v>
      </c>
      <c r="F24" s="60">
        <f t="shared" si="4"/>
        <v>1.0639187475529013</v>
      </c>
      <c r="G24" s="60">
        <f t="shared" si="4"/>
        <v>0.99365548354673006</v>
      </c>
      <c r="H24" s="60">
        <f t="shared" si="4"/>
        <v>1.9329518878454426</v>
      </c>
      <c r="I24" s="60">
        <f t="shared" si="4"/>
        <v>0.94258010413683879</v>
      </c>
      <c r="J24" s="60">
        <f t="shared" si="4"/>
        <v>3.8691874755290114</v>
      </c>
      <c r="K24" s="114">
        <v>1.159779045236996</v>
      </c>
      <c r="L24" s="114">
        <v>0.30099263094535444</v>
      </c>
      <c r="M24" s="114">
        <v>1.4607716761823504</v>
      </c>
      <c r="N24" s="73"/>
      <c r="O24" s="73"/>
      <c r="P24" s="73"/>
      <c r="T24" s="36">
        <v>6.77</v>
      </c>
      <c r="U24" s="37">
        <v>2244</v>
      </c>
      <c r="V24" s="36" t="s">
        <v>94</v>
      </c>
    </row>
    <row r="25" spans="1:22" ht="21.75" customHeight="1" x14ac:dyDescent="0.3">
      <c r="A25" s="58">
        <v>2247</v>
      </c>
      <c r="B25" s="55" t="s">
        <v>34</v>
      </c>
      <c r="C25" s="60">
        <f t="shared" si="4"/>
        <v>6.1476090018174279E-2</v>
      </c>
      <c r="D25" s="60">
        <f t="shared" si="4"/>
        <v>0.12616774095523051</v>
      </c>
      <c r="E25" s="60">
        <f t="shared" si="4"/>
        <v>5.5941702070464755E-2</v>
      </c>
      <c r="F25" s="60">
        <f t="shared" si="4"/>
        <v>0.24358553304386957</v>
      </c>
      <c r="G25" s="60">
        <f t="shared" si="4"/>
        <v>0.22749867053137837</v>
      </c>
      <c r="H25" s="60">
        <f t="shared" si="4"/>
        <v>0.44255176161897136</v>
      </c>
      <c r="I25" s="60">
        <f t="shared" si="4"/>
        <v>0.21580489828834568</v>
      </c>
      <c r="J25" s="60">
        <f t="shared" si="4"/>
        <v>0.88585533043869547</v>
      </c>
      <c r="K25" s="114">
        <v>0.26553286855499908</v>
      </c>
      <c r="L25" s="114">
        <v>6.8912640762968894E-2</v>
      </c>
      <c r="M25" s="114">
        <v>0.33444550931796796</v>
      </c>
      <c r="N25" s="73"/>
      <c r="O25" s="73"/>
      <c r="P25" s="73"/>
      <c r="T25" s="36">
        <v>1.55</v>
      </c>
      <c r="U25" s="37">
        <v>2247</v>
      </c>
      <c r="V25" s="36" t="s">
        <v>95</v>
      </c>
    </row>
    <row r="26" spans="1:22" ht="21.75" customHeight="1" x14ac:dyDescent="0.3">
      <c r="A26" s="58">
        <v>2251</v>
      </c>
      <c r="B26" s="55" t="s">
        <v>35</v>
      </c>
      <c r="C26" s="60">
        <f t="shared" ref="C26:J34" si="5">$T26/$S$9*C$9</f>
        <v>0</v>
      </c>
      <c r="D26" s="60">
        <f t="shared" si="5"/>
        <v>0</v>
      </c>
      <c r="E26" s="60">
        <f t="shared" si="5"/>
        <v>0</v>
      </c>
      <c r="F26" s="60">
        <f t="shared" si="5"/>
        <v>0</v>
      </c>
      <c r="G26" s="60">
        <f t="shared" si="5"/>
        <v>0</v>
      </c>
      <c r="H26" s="60">
        <f t="shared" si="5"/>
        <v>0</v>
      </c>
      <c r="I26" s="60">
        <f t="shared" si="5"/>
        <v>0</v>
      </c>
      <c r="J26" s="60">
        <f t="shared" si="5"/>
        <v>0</v>
      </c>
      <c r="K26" s="114">
        <v>0</v>
      </c>
      <c r="L26" s="114">
        <v>0</v>
      </c>
      <c r="M26" s="114">
        <v>0</v>
      </c>
      <c r="N26" s="73"/>
      <c r="O26" s="73"/>
      <c r="P26" s="73"/>
      <c r="T26" s="36">
        <v>0</v>
      </c>
      <c r="U26" s="37">
        <v>2251</v>
      </c>
      <c r="V26" s="36" t="s">
        <v>96</v>
      </c>
    </row>
    <row r="27" spans="1:22" ht="17.25" customHeight="1" x14ac:dyDescent="0.3">
      <c r="A27" s="58">
        <v>2311</v>
      </c>
      <c r="B27" s="55" t="s">
        <v>36</v>
      </c>
      <c r="C27" s="60">
        <f t="shared" si="5"/>
        <v>0.10232794338509009</v>
      </c>
      <c r="D27" s="60">
        <f t="shared" si="5"/>
        <v>0.21000823978354496</v>
      </c>
      <c r="E27" s="60">
        <f t="shared" si="5"/>
        <v>9.3115865381805857E-2</v>
      </c>
      <c r="F27" s="60">
        <f t="shared" si="5"/>
        <v>0.40545204855044092</v>
      </c>
      <c r="G27" s="60">
        <f t="shared" si="5"/>
        <v>0.37867520643287494</v>
      </c>
      <c r="H27" s="60">
        <f t="shared" si="5"/>
        <v>0.7366345451464168</v>
      </c>
      <c r="I27" s="60">
        <f t="shared" si="5"/>
        <v>0.35921073392511732</v>
      </c>
      <c r="J27" s="60">
        <f t="shared" si="5"/>
        <v>1.4745204855044092</v>
      </c>
      <c r="K27" s="114">
        <v>0.44198374249799843</v>
      </c>
      <c r="L27" s="114">
        <v>0.11470620204416757</v>
      </c>
      <c r="M27" s="114">
        <v>0.55668994454216603</v>
      </c>
      <c r="N27" s="73"/>
      <c r="O27" s="73"/>
      <c r="P27" s="73"/>
      <c r="T27" s="36">
        <v>2.58</v>
      </c>
      <c r="U27" s="37">
        <v>2311</v>
      </c>
      <c r="V27" s="36" t="s">
        <v>97</v>
      </c>
    </row>
    <row r="28" spans="1:22" ht="15.6" x14ac:dyDescent="0.3">
      <c r="A28" s="58">
        <v>2312</v>
      </c>
      <c r="B28" s="55" t="s">
        <v>37</v>
      </c>
      <c r="C28" s="60">
        <f t="shared" si="5"/>
        <v>0.1903775690885397</v>
      </c>
      <c r="D28" s="60">
        <f t="shared" si="5"/>
        <v>0.39071300424845573</v>
      </c>
      <c r="E28" s="60">
        <f t="shared" si="5"/>
        <v>0.17323881931498764</v>
      </c>
      <c r="F28" s="60">
        <f t="shared" si="5"/>
        <v>0.75432939265198318</v>
      </c>
      <c r="G28" s="60">
        <f t="shared" si="5"/>
        <v>0.70451201196813951</v>
      </c>
      <c r="H28" s="60">
        <f t="shared" si="5"/>
        <v>1.370482874691008</v>
      </c>
      <c r="I28" s="60">
        <f t="shared" si="5"/>
        <v>0.6682990398606834</v>
      </c>
      <c r="J28" s="60">
        <f t="shared" si="5"/>
        <v>2.7432939265198311</v>
      </c>
      <c r="K28" s="114">
        <v>0.82229533487999706</v>
      </c>
      <c r="L28" s="114">
        <v>0.2134068875240327</v>
      </c>
      <c r="M28" s="114">
        <v>1.0357022224040298</v>
      </c>
      <c r="N28" s="73"/>
      <c r="O28" s="73"/>
      <c r="P28" s="73"/>
      <c r="T28" s="36">
        <v>4.8</v>
      </c>
      <c r="U28" s="37">
        <v>2312</v>
      </c>
      <c r="V28" s="36" t="s">
        <v>98</v>
      </c>
    </row>
    <row r="29" spans="1:22" ht="15.75" customHeight="1" x14ac:dyDescent="0.3">
      <c r="A29" s="58">
        <v>2321</v>
      </c>
      <c r="B29" s="55" t="s">
        <v>38</v>
      </c>
      <c r="C29" s="60">
        <f t="shared" si="5"/>
        <v>0</v>
      </c>
      <c r="D29" s="60">
        <f t="shared" si="5"/>
        <v>0</v>
      </c>
      <c r="E29" s="60">
        <f t="shared" si="5"/>
        <v>0</v>
      </c>
      <c r="F29" s="60">
        <f t="shared" si="5"/>
        <v>0</v>
      </c>
      <c r="G29" s="60">
        <f t="shared" si="5"/>
        <v>0</v>
      </c>
      <c r="H29" s="60">
        <f t="shared" si="5"/>
        <v>0</v>
      </c>
      <c r="I29" s="60">
        <f t="shared" si="5"/>
        <v>0</v>
      </c>
      <c r="J29" s="60">
        <f t="shared" si="5"/>
        <v>0</v>
      </c>
      <c r="K29" s="114">
        <v>0</v>
      </c>
      <c r="L29" s="114">
        <v>0</v>
      </c>
      <c r="M29" s="114">
        <v>0</v>
      </c>
      <c r="N29" s="73"/>
      <c r="O29" s="73"/>
      <c r="P29" s="73"/>
      <c r="T29" s="36">
        <v>0</v>
      </c>
      <c r="U29" s="37">
        <v>2321</v>
      </c>
      <c r="V29" s="36" t="s">
        <v>99</v>
      </c>
    </row>
    <row r="30" spans="1:22" ht="15" customHeight="1" x14ac:dyDescent="0.3">
      <c r="A30" s="58">
        <v>2341</v>
      </c>
      <c r="B30" s="55" t="s">
        <v>39</v>
      </c>
      <c r="C30" s="60">
        <f t="shared" si="5"/>
        <v>3.172959484808995E-3</v>
      </c>
      <c r="D30" s="60">
        <f t="shared" si="5"/>
        <v>6.5118834041409295E-3</v>
      </c>
      <c r="E30" s="60">
        <f t="shared" si="5"/>
        <v>2.887313655249794E-3</v>
      </c>
      <c r="F30" s="60">
        <f t="shared" si="5"/>
        <v>1.2572156544199719E-2</v>
      </c>
      <c r="G30" s="60">
        <f t="shared" si="5"/>
        <v>1.1741866866135658E-2</v>
      </c>
      <c r="H30" s="60">
        <f t="shared" si="5"/>
        <v>2.2841381244850134E-2</v>
      </c>
      <c r="I30" s="60">
        <f t="shared" si="5"/>
        <v>1.113831733101139E-2</v>
      </c>
      <c r="J30" s="60">
        <f t="shared" si="5"/>
        <v>4.5721565441997188E-2</v>
      </c>
      <c r="K30" s="114">
        <v>1.3704922247999953E-2</v>
      </c>
      <c r="L30" s="114">
        <v>3.5567814587338783E-3</v>
      </c>
      <c r="M30" s="114">
        <v>1.7261703706733831E-2</v>
      </c>
      <c r="N30" s="73"/>
      <c r="O30" s="73"/>
      <c r="P30" s="73"/>
      <c r="T30" s="36">
        <v>0.08</v>
      </c>
      <c r="U30" s="37" t="s">
        <v>104</v>
      </c>
      <c r="V30" s="36" t="s">
        <v>100</v>
      </c>
    </row>
    <row r="31" spans="1:22" ht="16.5" customHeight="1" x14ac:dyDescent="0.3">
      <c r="A31" s="58">
        <v>2351</v>
      </c>
      <c r="B31" s="55" t="s">
        <v>40</v>
      </c>
      <c r="C31" s="60">
        <f t="shared" si="5"/>
        <v>0.28873931311761858</v>
      </c>
      <c r="D31" s="60">
        <f t="shared" si="5"/>
        <v>0.59258138977682462</v>
      </c>
      <c r="E31" s="60">
        <f t="shared" si="5"/>
        <v>0.26274554262773125</v>
      </c>
      <c r="F31" s="60">
        <f t="shared" si="5"/>
        <v>1.1440662455221746</v>
      </c>
      <c r="G31" s="60">
        <f t="shared" si="5"/>
        <v>1.068509884818345</v>
      </c>
      <c r="H31" s="60">
        <f t="shared" si="5"/>
        <v>2.0785656932813623</v>
      </c>
      <c r="I31" s="60">
        <f t="shared" si="5"/>
        <v>1.0135868771220364</v>
      </c>
      <c r="J31" s="60">
        <f t="shared" si="5"/>
        <v>4.1606624552217442</v>
      </c>
      <c r="K31" s="114">
        <v>1.2471479245679957</v>
      </c>
      <c r="L31" s="114">
        <v>0.32366711274478294</v>
      </c>
      <c r="M31" s="114">
        <v>1.5708150373127787</v>
      </c>
      <c r="N31" s="73"/>
      <c r="O31" s="73"/>
      <c r="P31" s="73"/>
      <c r="T31" s="36">
        <v>7.28</v>
      </c>
      <c r="U31" s="37" t="s">
        <v>102</v>
      </c>
      <c r="V31" s="36" t="s">
        <v>97</v>
      </c>
    </row>
    <row r="32" spans="1:22" ht="17.25" customHeight="1" x14ac:dyDescent="0.3">
      <c r="A32" s="58">
        <v>2352</v>
      </c>
      <c r="B32" s="55" t="s">
        <v>41</v>
      </c>
      <c r="C32" s="60">
        <f t="shared" si="5"/>
        <v>0.28318663401920274</v>
      </c>
      <c r="D32" s="60">
        <f t="shared" si="5"/>
        <v>0.58118559381957779</v>
      </c>
      <c r="E32" s="60">
        <f t="shared" si="5"/>
        <v>0.25769274373104406</v>
      </c>
      <c r="F32" s="60">
        <f t="shared" si="5"/>
        <v>1.1220649715698248</v>
      </c>
      <c r="G32" s="60">
        <f t="shared" si="5"/>
        <v>1.0479616178026074</v>
      </c>
      <c r="H32" s="60">
        <f t="shared" si="5"/>
        <v>2.038593276102874</v>
      </c>
      <c r="I32" s="60">
        <f t="shared" si="5"/>
        <v>0.99409482179276643</v>
      </c>
      <c r="J32" s="60">
        <f t="shared" si="5"/>
        <v>4.0806497156982484</v>
      </c>
      <c r="K32" s="114">
        <v>1.2231643106339956</v>
      </c>
      <c r="L32" s="114">
        <v>0.31744274519199861</v>
      </c>
      <c r="M32" s="114">
        <v>1.5406070558259941</v>
      </c>
      <c r="N32" s="73"/>
      <c r="O32" s="73"/>
      <c r="P32" s="73"/>
      <c r="T32" s="36">
        <v>7.14</v>
      </c>
      <c r="U32" s="37" t="s">
        <v>103</v>
      </c>
      <c r="V32" s="36" t="s">
        <v>98</v>
      </c>
    </row>
    <row r="33" spans="1:57" ht="15.75" customHeight="1" x14ac:dyDescent="0.3">
      <c r="A33" s="58">
        <v>2362</v>
      </c>
      <c r="B33" s="55" t="s">
        <v>42</v>
      </c>
      <c r="C33" s="60">
        <f t="shared" si="5"/>
        <v>0.66116543264707439</v>
      </c>
      <c r="D33" s="60">
        <f t="shared" si="5"/>
        <v>1.3569137043378663</v>
      </c>
      <c r="E33" s="60">
        <f t="shared" si="5"/>
        <v>0.60164398291267585</v>
      </c>
      <c r="F33" s="60">
        <f t="shared" si="5"/>
        <v>2.6197231198976167</v>
      </c>
      <c r="G33" s="60">
        <f t="shared" si="5"/>
        <v>2.4467115082310182</v>
      </c>
      <c r="H33" s="60">
        <f t="shared" si="5"/>
        <v>4.7595728168956475</v>
      </c>
      <c r="I33" s="60">
        <f t="shared" si="5"/>
        <v>2.3209468738494987</v>
      </c>
      <c r="J33" s="60">
        <f t="shared" si="5"/>
        <v>9.527231198976164</v>
      </c>
      <c r="K33" s="114">
        <v>2.8557631734269906</v>
      </c>
      <c r="L33" s="114">
        <v>0.74114433646367195</v>
      </c>
      <c r="M33" s="114">
        <v>3.5969075098906624</v>
      </c>
      <c r="N33" s="73"/>
      <c r="O33" s="73"/>
      <c r="P33" s="73"/>
      <c r="T33" s="36">
        <v>16.670000000000002</v>
      </c>
      <c r="U33" s="37">
        <v>2362</v>
      </c>
      <c r="V33" s="36" t="s">
        <v>101</v>
      </c>
    </row>
    <row r="34" spans="1:57" ht="19.5" customHeight="1" x14ac:dyDescent="0.3">
      <c r="A34" s="58" t="s">
        <v>13</v>
      </c>
      <c r="B34" s="55" t="s">
        <v>43</v>
      </c>
      <c r="C34" s="60">
        <f t="shared" si="5"/>
        <v>0</v>
      </c>
      <c r="D34" s="60">
        <f t="shared" si="5"/>
        <v>0</v>
      </c>
      <c r="E34" s="60">
        <f t="shared" si="5"/>
        <v>0</v>
      </c>
      <c r="F34" s="60">
        <f t="shared" si="5"/>
        <v>0</v>
      </c>
      <c r="G34" s="60">
        <f t="shared" si="5"/>
        <v>0</v>
      </c>
      <c r="H34" s="60">
        <f t="shared" si="5"/>
        <v>0</v>
      </c>
      <c r="I34" s="60">
        <f t="shared" si="5"/>
        <v>0</v>
      </c>
      <c r="J34" s="60">
        <f t="shared" si="5"/>
        <v>0</v>
      </c>
      <c r="K34" s="114">
        <v>0</v>
      </c>
      <c r="L34" s="114">
        <v>0</v>
      </c>
      <c r="M34" s="114">
        <v>0</v>
      </c>
      <c r="N34" s="73"/>
      <c r="O34" s="73"/>
      <c r="P34" s="73"/>
      <c r="T34" s="36">
        <v>0</v>
      </c>
      <c r="U34" s="36">
        <v>5239</v>
      </c>
      <c r="V34" s="36" t="s">
        <v>43</v>
      </c>
    </row>
    <row r="35" spans="1:57" ht="32.25" customHeight="1" x14ac:dyDescent="0.3">
      <c r="A35" s="56"/>
      <c r="B35" s="61" t="s">
        <v>44</v>
      </c>
      <c r="C35" s="60">
        <f>SUM(C16:C34)</f>
        <v>71.142657044781188</v>
      </c>
      <c r="D35" s="60">
        <f t="shared" ref="D35:F35" si="6">SUM(D16:D34)</f>
        <v>146.00649329258241</v>
      </c>
      <c r="E35" s="60">
        <f t="shared" si="6"/>
        <v>64.7380359376114</v>
      </c>
      <c r="F35" s="60">
        <f t="shared" si="6"/>
        <v>281.88718627497514</v>
      </c>
      <c r="G35" s="60">
        <f>SUM(G16:G34)</f>
        <v>263.27080806493655</v>
      </c>
      <c r="H35" s="60">
        <f>SUM(H16:H34)</f>
        <v>512.13908028494461</v>
      </c>
      <c r="I35" s="60">
        <f>SUM(I16:I34)</f>
        <v>249.73829439986918</v>
      </c>
      <c r="J35" s="60">
        <f>SUM(J16:J34)</f>
        <v>1025.1481827497503</v>
      </c>
      <c r="K35" s="114">
        <v>307.28554460995423</v>
      </c>
      <c r="L35" s="114">
        <v>79.748539088948775</v>
      </c>
      <c r="M35" s="114">
        <v>387.03408369890303</v>
      </c>
      <c r="N35" s="73"/>
      <c r="O35" s="73"/>
      <c r="P35" s="73"/>
    </row>
    <row r="36" spans="1:57" ht="15.75" customHeight="1" x14ac:dyDescent="0.3">
      <c r="A36" s="55"/>
      <c r="B36" s="55" t="s">
        <v>45</v>
      </c>
      <c r="C36" s="60">
        <f>C14+C35</f>
        <v>263.69212284997167</v>
      </c>
      <c r="D36" s="60">
        <f t="shared" ref="D36:F36" si="7">D14+D35</f>
        <v>541.17689394095396</v>
      </c>
      <c r="E36" s="60">
        <f t="shared" si="7"/>
        <v>239.9532268633306</v>
      </c>
      <c r="F36" s="60">
        <f t="shared" si="7"/>
        <v>1044.8222436542565</v>
      </c>
      <c r="G36" s="60">
        <f>G14+G35</f>
        <v>975.8201499189463</v>
      </c>
      <c r="H36" s="60">
        <f>H14+H35</f>
        <v>1898.2569232656424</v>
      </c>
      <c r="I36" s="60">
        <f>I14+I35</f>
        <v>925.6615333579748</v>
      </c>
      <c r="J36" s="60">
        <f>J14+J35</f>
        <v>3799.7386065425635</v>
      </c>
      <c r="K36" s="114">
        <v>2805.3811091359325</v>
      </c>
      <c r="L36" s="114">
        <v>728.0688889069138</v>
      </c>
      <c r="M36" s="114">
        <v>3533.4499980428459</v>
      </c>
      <c r="N36" s="73"/>
      <c r="O36" s="73"/>
      <c r="P36" s="73"/>
    </row>
    <row r="37" spans="1:57" ht="41.25" customHeight="1" x14ac:dyDescent="0.3">
      <c r="A37" s="55"/>
      <c r="B37" s="55" t="s">
        <v>46</v>
      </c>
      <c r="C37" s="62">
        <v>168</v>
      </c>
      <c r="D37" s="62">
        <v>164</v>
      </c>
      <c r="E37" s="62">
        <v>164</v>
      </c>
      <c r="F37" s="62" t="s">
        <v>47</v>
      </c>
      <c r="G37" s="81">
        <v>508</v>
      </c>
      <c r="H37" s="81">
        <v>508</v>
      </c>
      <c r="I37" s="81">
        <v>508</v>
      </c>
      <c r="J37" s="81" t="s">
        <v>47</v>
      </c>
      <c r="K37" s="115">
        <v>257</v>
      </c>
      <c r="L37" s="115">
        <v>142</v>
      </c>
      <c r="M37" s="114" t="s">
        <v>47</v>
      </c>
      <c r="N37" s="73"/>
      <c r="O37" s="73"/>
      <c r="P37" s="73"/>
    </row>
    <row r="38" spans="1:57" ht="54.75" customHeight="1" x14ac:dyDescent="0.3">
      <c r="A38" s="55"/>
      <c r="B38" s="55" t="s">
        <v>123</v>
      </c>
      <c r="C38" s="60">
        <f>C14/C37</f>
        <v>1.1461277726499435</v>
      </c>
      <c r="D38" s="60">
        <f t="shared" ref="D38:E38" si="8">D14/D37</f>
        <v>2.409575613709583</v>
      </c>
      <c r="E38" s="60">
        <f t="shared" si="8"/>
        <v>1.0683853105226782</v>
      </c>
      <c r="F38" s="60">
        <f>SUM(C38:E38)</f>
        <v>4.6240886968822048</v>
      </c>
      <c r="G38" s="60">
        <f>G14/G37</f>
        <v>1.4026561847519876</v>
      </c>
      <c r="H38" s="60">
        <f t="shared" ref="H38:I38" si="9">H14/H37</f>
        <v>2.7285784310643657</v>
      </c>
      <c r="I38" s="60">
        <f t="shared" si="9"/>
        <v>1.3305575570041448</v>
      </c>
      <c r="J38" s="60">
        <f>SUM(G38:I38)</f>
        <v>5.4617921728204983</v>
      </c>
      <c r="K38" s="116">
        <f>K14/K37</f>
        <v>3.7651875181695558</v>
      </c>
      <c r="L38" s="117">
        <f>L14/L37</f>
        <v>1.7685282221105219</v>
      </c>
      <c r="M38" s="114">
        <v>16.043125498612902</v>
      </c>
      <c r="N38" s="73"/>
      <c r="O38" s="73"/>
      <c r="P38" s="73"/>
    </row>
    <row r="39" spans="1:57" ht="45" customHeight="1" x14ac:dyDescent="0.3">
      <c r="A39" s="55"/>
      <c r="B39" s="55" t="s">
        <v>125</v>
      </c>
      <c r="C39" s="59">
        <f>C9/C37</f>
        <v>0.40398809523809526</v>
      </c>
      <c r="D39" s="59">
        <f>D9/D37</f>
        <v>0.84932926829268285</v>
      </c>
      <c r="E39" s="59">
        <f>E9/E37</f>
        <v>0.37658536585365854</v>
      </c>
      <c r="F39" s="59">
        <f>SUM(C39:E39)</f>
        <v>1.6299027293844368</v>
      </c>
      <c r="G39" s="59">
        <f>G9/G37</f>
        <v>0.49440944881889765</v>
      </c>
      <c r="H39" s="59">
        <f>H9/H37</f>
        <v>0.96177165354330707</v>
      </c>
      <c r="I39" s="59">
        <f>I9/I37</f>
        <v>0.46899606299212598</v>
      </c>
      <c r="J39" s="59">
        <f>SUM(G39:I39)</f>
        <v>1.9251771653543306</v>
      </c>
      <c r="K39" s="114">
        <v>1.1406614785992217</v>
      </c>
      <c r="L39" s="114">
        <v>0.53577464788732398</v>
      </c>
      <c r="M39" s="114">
        <v>1.6764361264865457</v>
      </c>
      <c r="N39" s="73"/>
      <c r="O39" s="73"/>
      <c r="P39" s="73"/>
    </row>
    <row r="48" spans="1:57" x14ac:dyDescent="0.3">
      <c r="J48" s="32"/>
      <c r="K48" s="32"/>
      <c r="L48" s="32"/>
      <c r="M48" s="32"/>
      <c r="BA48"/>
      <c r="BB48"/>
      <c r="BC48"/>
      <c r="BD48"/>
      <c r="BE48"/>
    </row>
    <row r="49" spans="10:57" x14ac:dyDescent="0.3">
      <c r="J49" s="32"/>
      <c r="K49" s="32"/>
      <c r="L49" s="32"/>
      <c r="M49" s="32"/>
      <c r="BA49"/>
      <c r="BB49"/>
      <c r="BC49"/>
      <c r="BD49"/>
      <c r="BE49"/>
    </row>
    <row r="50" spans="10:57" x14ac:dyDescent="0.3">
      <c r="J50" s="32"/>
      <c r="K50" s="32"/>
      <c r="L50" s="32"/>
      <c r="M50" s="32"/>
      <c r="BA50"/>
      <c r="BB50"/>
      <c r="BC50"/>
      <c r="BD50"/>
      <c r="BE50"/>
    </row>
    <row r="51" spans="10:57" x14ac:dyDescent="0.3">
      <c r="J51" s="32"/>
      <c r="K51" s="32"/>
      <c r="L51" s="32"/>
      <c r="M51" s="32"/>
      <c r="BA51"/>
      <c r="BB51"/>
      <c r="BC51"/>
      <c r="BD51"/>
      <c r="BE51"/>
    </row>
    <row r="52" spans="10:57" x14ac:dyDescent="0.3">
      <c r="J52" s="32"/>
      <c r="K52" s="32"/>
      <c r="L52" s="32"/>
      <c r="M52" s="32"/>
      <c r="BA52"/>
      <c r="BB52"/>
      <c r="BC52"/>
      <c r="BD52"/>
      <c r="BE52"/>
    </row>
    <row r="53" spans="10:57" x14ac:dyDescent="0.3">
      <c r="J53" s="32"/>
      <c r="K53" s="32"/>
      <c r="L53" s="32"/>
      <c r="M53" s="32"/>
      <c r="BA53"/>
      <c r="BB53"/>
      <c r="BC53"/>
      <c r="BD53"/>
      <c r="BE53"/>
    </row>
    <row r="54" spans="10:57" x14ac:dyDescent="0.3">
      <c r="J54" s="32"/>
      <c r="K54" s="32"/>
      <c r="L54" s="32"/>
      <c r="M54" s="32"/>
      <c r="BA54"/>
      <c r="BB54"/>
      <c r="BC54"/>
      <c r="BD54"/>
      <c r="BE54"/>
    </row>
    <row r="55" spans="10:57" x14ac:dyDescent="0.3">
      <c r="J55" s="32"/>
      <c r="K55" s="32"/>
      <c r="L55" s="32"/>
      <c r="M55" s="32"/>
      <c r="BA55"/>
      <c r="BB55"/>
      <c r="BC55"/>
      <c r="BD55"/>
      <c r="BE55"/>
    </row>
    <row r="56" spans="10:57" x14ac:dyDescent="0.3">
      <c r="J56" s="32"/>
      <c r="K56" s="32"/>
      <c r="L56" s="32"/>
      <c r="M56" s="32"/>
      <c r="BA56"/>
      <c r="BB56"/>
      <c r="BC56"/>
      <c r="BD56"/>
      <c r="BE56"/>
    </row>
    <row r="57" spans="10:57" x14ac:dyDescent="0.3">
      <c r="J57" s="32"/>
      <c r="K57" s="32"/>
      <c r="L57" s="32"/>
      <c r="M57" s="32"/>
      <c r="BA57"/>
      <c r="BB57"/>
      <c r="BC57"/>
      <c r="BD57"/>
      <c r="BE57"/>
    </row>
    <row r="58" spans="10:57" x14ac:dyDescent="0.3">
      <c r="J58" s="32"/>
      <c r="K58" s="32"/>
      <c r="L58" s="32"/>
      <c r="M58" s="32"/>
      <c r="BA58"/>
      <c r="BB58"/>
      <c r="BC58"/>
      <c r="BD58"/>
      <c r="BE58"/>
    </row>
    <row r="59" spans="10:57" x14ac:dyDescent="0.3">
      <c r="J59" s="32"/>
      <c r="K59" s="32"/>
      <c r="L59" s="32"/>
      <c r="M59" s="32"/>
      <c r="BA59"/>
      <c r="BB59"/>
      <c r="BC59"/>
      <c r="BD59"/>
      <c r="BE59"/>
    </row>
    <row r="60" spans="10:57" x14ac:dyDescent="0.3">
      <c r="J60" s="32"/>
      <c r="K60" s="32"/>
      <c r="L60" s="32"/>
      <c r="M60" s="32"/>
      <c r="BA60"/>
      <c r="BB60"/>
      <c r="BC60"/>
      <c r="BD60"/>
      <c r="BE60"/>
    </row>
    <row r="61" spans="10:57" x14ac:dyDescent="0.3">
      <c r="J61" s="32"/>
      <c r="K61" s="32"/>
      <c r="L61" s="32"/>
      <c r="M61" s="32"/>
      <c r="BA61"/>
      <c r="BB61"/>
      <c r="BC61"/>
      <c r="BD61"/>
      <c r="BE61"/>
    </row>
    <row r="62" spans="10:57" x14ac:dyDescent="0.3">
      <c r="J62" s="32"/>
      <c r="K62" s="32"/>
      <c r="L62" s="32"/>
      <c r="M62" s="32"/>
      <c r="BA62"/>
      <c r="BB62"/>
      <c r="BC62"/>
      <c r="BD62"/>
      <c r="BE62"/>
    </row>
    <row r="63" spans="10:57" x14ac:dyDescent="0.3">
      <c r="J63" s="32"/>
      <c r="K63" s="32"/>
      <c r="L63" s="32"/>
      <c r="M63" s="32"/>
      <c r="BA63"/>
      <c r="BB63"/>
      <c r="BC63"/>
      <c r="BD63"/>
      <c r="BE63"/>
    </row>
    <row r="64" spans="10:57" x14ac:dyDescent="0.3">
      <c r="J64" s="32"/>
      <c r="K64" s="32"/>
      <c r="L64" s="32"/>
      <c r="M64" s="32"/>
      <c r="BA64"/>
      <c r="BB64"/>
      <c r="BC64"/>
      <c r="BD64"/>
      <c r="BE64"/>
    </row>
    <row r="65" spans="10:57" x14ac:dyDescent="0.3">
      <c r="J65" s="32"/>
      <c r="K65" s="32"/>
      <c r="L65" s="32"/>
      <c r="M65" s="32"/>
      <c r="BA65"/>
      <c r="BB65"/>
      <c r="BC65"/>
      <c r="BD65"/>
      <c r="BE65"/>
    </row>
    <row r="66" spans="10:57" x14ac:dyDescent="0.3">
      <c r="J66" s="32"/>
      <c r="K66" s="32"/>
      <c r="L66" s="32"/>
      <c r="M66" s="32"/>
      <c r="BA66"/>
      <c r="BB66"/>
      <c r="BC66"/>
      <c r="BD66"/>
      <c r="BE66"/>
    </row>
    <row r="67" spans="10:57" x14ac:dyDescent="0.3">
      <c r="J67" s="32"/>
      <c r="K67" s="32"/>
      <c r="L67" s="32"/>
      <c r="M67" s="32"/>
      <c r="BA67"/>
      <c r="BB67"/>
      <c r="BC67"/>
      <c r="BD67"/>
      <c r="BE67"/>
    </row>
    <row r="68" spans="10:57" x14ac:dyDescent="0.3">
      <c r="J68" s="32"/>
      <c r="K68" s="32"/>
      <c r="L68" s="32"/>
      <c r="M68" s="32"/>
      <c r="BA68"/>
      <c r="BB68"/>
      <c r="BC68"/>
      <c r="BD68"/>
      <c r="BE68"/>
    </row>
    <row r="69" spans="10:57" x14ac:dyDescent="0.3">
      <c r="J69" s="32"/>
      <c r="K69" s="32"/>
      <c r="L69" s="32"/>
      <c r="M69" s="32"/>
      <c r="BA69"/>
      <c r="BB69"/>
      <c r="BC69"/>
      <c r="BD69"/>
      <c r="BE69"/>
    </row>
    <row r="70" spans="10:57" x14ac:dyDescent="0.3">
      <c r="J70" s="32"/>
      <c r="K70" s="32"/>
      <c r="L70" s="32"/>
      <c r="M70" s="32"/>
      <c r="BA70"/>
      <c r="BB70"/>
      <c r="BC70"/>
      <c r="BD70"/>
      <c r="BE70"/>
    </row>
    <row r="71" spans="10:57" x14ac:dyDescent="0.3">
      <c r="J71" s="32"/>
      <c r="K71" s="32"/>
      <c r="L71" s="32"/>
      <c r="M71" s="32"/>
      <c r="BA71"/>
      <c r="BB71"/>
      <c r="BC71"/>
      <c r="BD71"/>
      <c r="BE71"/>
    </row>
    <row r="72" spans="10:57" x14ac:dyDescent="0.3">
      <c r="J72" s="32"/>
      <c r="K72" s="32"/>
      <c r="L72" s="32"/>
      <c r="M72" s="32"/>
      <c r="BA72"/>
      <c r="BB72"/>
      <c r="BC72"/>
      <c r="BD72"/>
      <c r="BE72"/>
    </row>
    <row r="73" spans="10:57" x14ac:dyDescent="0.3">
      <c r="J73" s="32"/>
      <c r="K73" s="32"/>
      <c r="L73" s="32"/>
      <c r="M73" s="32"/>
      <c r="BA73"/>
      <c r="BB73"/>
      <c r="BC73"/>
      <c r="BD73"/>
      <c r="BE73"/>
    </row>
    <row r="74" spans="10:57" x14ac:dyDescent="0.3">
      <c r="J74" s="32"/>
      <c r="K74" s="32"/>
      <c r="L74" s="32"/>
      <c r="M74" s="32"/>
      <c r="BA74"/>
      <c r="BB74"/>
      <c r="BC74"/>
      <c r="BD74"/>
      <c r="BE74"/>
    </row>
    <row r="75" spans="10:57" x14ac:dyDescent="0.3">
      <c r="J75" s="32"/>
      <c r="K75" s="32"/>
      <c r="L75" s="32"/>
      <c r="M75" s="32"/>
      <c r="BA75"/>
      <c r="BB75"/>
      <c r="BC75"/>
      <c r="BD75"/>
      <c r="BE75"/>
    </row>
    <row r="76" spans="10:57" x14ac:dyDescent="0.3">
      <c r="J76" s="32"/>
      <c r="K76" s="32"/>
      <c r="L76" s="32"/>
      <c r="M76" s="32"/>
      <c r="BA76"/>
      <c r="BB76"/>
      <c r="BC76"/>
      <c r="BD76"/>
      <c r="BE76"/>
    </row>
    <row r="77" spans="10:57" x14ac:dyDescent="0.3">
      <c r="J77" s="32"/>
      <c r="K77" s="32"/>
      <c r="L77" s="32"/>
      <c r="M77" s="32"/>
      <c r="BA77"/>
      <c r="BB77"/>
      <c r="BC77"/>
      <c r="BD77"/>
      <c r="BE77"/>
    </row>
    <row r="78" spans="10:57" x14ac:dyDescent="0.3">
      <c r="J78" s="32"/>
      <c r="K78" s="32"/>
      <c r="L78" s="32"/>
      <c r="M78" s="32"/>
      <c r="BA78"/>
      <c r="BB78"/>
      <c r="BC78"/>
      <c r="BD78"/>
      <c r="BE78"/>
    </row>
    <row r="79" spans="10:57" x14ac:dyDescent="0.3">
      <c r="J79" s="32"/>
      <c r="K79" s="32"/>
      <c r="L79" s="32"/>
      <c r="M79" s="32"/>
      <c r="BA79"/>
      <c r="BB79"/>
      <c r="BC79"/>
      <c r="BD79"/>
      <c r="BE79"/>
    </row>
    <row r="80" spans="10:57" x14ac:dyDescent="0.3">
      <c r="J80" s="32"/>
      <c r="K80" s="32"/>
      <c r="L80" s="32"/>
      <c r="M80" s="32"/>
      <c r="BA80"/>
      <c r="BB80"/>
      <c r="BC80"/>
      <c r="BD80"/>
      <c r="BE80"/>
    </row>
    <row r="81" spans="10:57" x14ac:dyDescent="0.3">
      <c r="J81" s="32"/>
      <c r="K81" s="32"/>
      <c r="L81" s="32"/>
      <c r="M81" s="32"/>
      <c r="BA81"/>
      <c r="BB81"/>
      <c r="BC81"/>
      <c r="BD81"/>
      <c r="BE81"/>
    </row>
    <row r="82" spans="10:57" x14ac:dyDescent="0.3">
      <c r="J82" s="32"/>
      <c r="K82" s="32"/>
      <c r="L82" s="32"/>
      <c r="M82" s="32"/>
      <c r="BA82"/>
      <c r="BB82"/>
      <c r="BC82"/>
      <c r="BD82"/>
      <c r="BE82"/>
    </row>
    <row r="83" spans="10:57" x14ac:dyDescent="0.3">
      <c r="J83" s="32"/>
      <c r="K83" s="32"/>
      <c r="L83" s="32"/>
      <c r="M83" s="32"/>
      <c r="BA83"/>
      <c r="BB83"/>
      <c r="BC83"/>
      <c r="BD83"/>
      <c r="BE83"/>
    </row>
    <row r="84" spans="10:57" x14ac:dyDescent="0.3">
      <c r="J84" s="32"/>
      <c r="K84" s="32"/>
      <c r="L84" s="32"/>
      <c r="M84" s="32"/>
      <c r="BA84"/>
      <c r="BB84"/>
      <c r="BC84"/>
      <c r="BD84"/>
      <c r="BE84"/>
    </row>
    <row r="85" spans="10:57" x14ac:dyDescent="0.3">
      <c r="J85" s="32"/>
      <c r="K85" s="32"/>
      <c r="L85" s="32"/>
      <c r="M85" s="32"/>
      <c r="BA85"/>
      <c r="BB85"/>
      <c r="BC85"/>
      <c r="BD85"/>
      <c r="BE85"/>
    </row>
    <row r="86" spans="10:57" x14ac:dyDescent="0.3">
      <c r="J86" s="32"/>
      <c r="K86" s="32"/>
      <c r="L86" s="32"/>
      <c r="M86" s="32"/>
      <c r="BA86"/>
      <c r="BB86"/>
      <c r="BC86"/>
      <c r="BD86"/>
      <c r="BE86"/>
    </row>
    <row r="87" spans="10:57" x14ac:dyDescent="0.3">
      <c r="J87" s="32"/>
      <c r="K87" s="32"/>
      <c r="L87" s="32"/>
      <c r="M87" s="32"/>
      <c r="BA87"/>
      <c r="BB87"/>
      <c r="BC87"/>
      <c r="BD87"/>
      <c r="BE87"/>
    </row>
    <row r="88" spans="10:57" x14ac:dyDescent="0.3">
      <c r="J88" s="32"/>
      <c r="K88" s="32"/>
      <c r="L88" s="32"/>
      <c r="M88" s="32"/>
      <c r="BA88"/>
      <c r="BB88"/>
      <c r="BC88"/>
      <c r="BD88"/>
      <c r="BE88"/>
    </row>
  </sheetData>
  <mergeCells count="5">
    <mergeCell ref="G1:M1"/>
    <mergeCell ref="C6:F6"/>
    <mergeCell ref="G6:J6"/>
    <mergeCell ref="A6:B6"/>
    <mergeCell ref="K6:M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EF11-F0B9-4DD6-9C1F-8C035416B8FA}">
  <dimension ref="A1:AF39"/>
  <sheetViews>
    <sheetView topLeftCell="B1" zoomScale="98" zoomScaleNormal="98" workbookViewId="0">
      <selection activeCell="U10" sqref="U10"/>
    </sheetView>
  </sheetViews>
  <sheetFormatPr defaultRowHeight="14.4" x14ac:dyDescent="0.3"/>
  <cols>
    <col min="2" max="2" width="38.109375" customWidth="1"/>
    <col min="3" max="3" width="11.5546875" customWidth="1"/>
    <col min="4" max="4" width="10.5546875" customWidth="1"/>
    <col min="7" max="7" width="13.33203125" customWidth="1"/>
    <col min="8" max="8" width="10.88671875" customWidth="1"/>
    <col min="11" max="11" width="12.33203125" customWidth="1"/>
    <col min="12" max="12" width="10.109375" customWidth="1"/>
    <col min="15" max="17" width="9.109375" style="48" hidden="1" customWidth="1"/>
    <col min="18" max="18" width="29.44140625" style="48" hidden="1" customWidth="1"/>
    <col min="19" max="20" width="9.109375" style="32" customWidth="1"/>
    <col min="21" max="32" width="9.109375" style="32"/>
  </cols>
  <sheetData>
    <row r="1" spans="1:23" ht="82.5" customHeight="1" x14ac:dyDescent="0.3">
      <c r="A1" s="34"/>
      <c r="B1" s="34"/>
      <c r="C1" s="34"/>
      <c r="D1" s="34"/>
      <c r="E1" s="34"/>
      <c r="F1" s="27"/>
      <c r="G1" s="14" t="s">
        <v>149</v>
      </c>
      <c r="H1" s="7"/>
      <c r="I1" s="7"/>
      <c r="J1" s="7"/>
      <c r="K1" s="7"/>
      <c r="L1" s="7"/>
      <c r="M1" s="7"/>
      <c r="N1" s="7"/>
    </row>
    <row r="2" spans="1:23" x14ac:dyDescent="0.3">
      <c r="A2" s="18"/>
      <c r="B2" s="18"/>
      <c r="C2" s="1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23" ht="15.6" x14ac:dyDescent="0.3">
      <c r="A3" s="64" t="s">
        <v>14</v>
      </c>
      <c r="B3" s="65"/>
      <c r="C3" s="71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23" ht="15.6" x14ac:dyDescent="0.3">
      <c r="A4" s="16" t="s">
        <v>126</v>
      </c>
      <c r="B4" s="66"/>
      <c r="C4" s="16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3" ht="15.6" x14ac:dyDescent="0.3">
      <c r="A5" s="70"/>
      <c r="B5" s="65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23" ht="28.8" x14ac:dyDescent="0.3">
      <c r="A6" s="9" t="s">
        <v>74</v>
      </c>
      <c r="B6" s="8"/>
      <c r="C6" s="11" t="s">
        <v>70</v>
      </c>
      <c r="D6" s="11"/>
      <c r="E6" s="11"/>
      <c r="F6" s="11"/>
      <c r="G6" s="11" t="s">
        <v>71</v>
      </c>
      <c r="H6" s="11"/>
      <c r="I6" s="11"/>
      <c r="J6" s="11"/>
      <c r="K6" s="11" t="s">
        <v>75</v>
      </c>
      <c r="L6" s="11"/>
      <c r="M6" s="11"/>
      <c r="N6" s="11"/>
      <c r="P6" s="49" t="s">
        <v>84</v>
      </c>
      <c r="Q6" s="49" t="s">
        <v>86</v>
      </c>
    </row>
    <row r="7" spans="1:23" ht="15.6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</row>
    <row r="8" spans="1:23" ht="22.5" customHeight="1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23" ht="16.5" customHeight="1" x14ac:dyDescent="0.3">
      <c r="A9" s="58">
        <v>2363</v>
      </c>
      <c r="B9" s="55" t="s">
        <v>18</v>
      </c>
      <c r="C9" s="59"/>
      <c r="D9" s="59">
        <v>703.91</v>
      </c>
      <c r="E9" s="59">
        <v>463.08</v>
      </c>
      <c r="F9" s="59">
        <f>C9+D9+E9</f>
        <v>1166.99</v>
      </c>
      <c r="G9" s="59"/>
      <c r="H9" s="59">
        <v>897.94</v>
      </c>
      <c r="I9" s="59"/>
      <c r="J9" s="59">
        <f>SUM(G9:I9)</f>
        <v>897.94</v>
      </c>
      <c r="K9" s="59"/>
      <c r="L9" s="59">
        <v>452.26</v>
      </c>
      <c r="M9" s="59"/>
      <c r="N9" s="59">
        <f>SUM(K9:M9)</f>
        <v>452.26</v>
      </c>
      <c r="P9" s="50">
        <v>2460.6999999999998</v>
      </c>
      <c r="T9" s="32">
        <v>2460.6999999999998</v>
      </c>
    </row>
    <row r="10" spans="1:23" ht="17.25" customHeight="1" x14ac:dyDescent="0.3">
      <c r="A10" s="58">
        <v>1100</v>
      </c>
      <c r="B10" s="55" t="s">
        <v>19</v>
      </c>
      <c r="C10" s="60"/>
      <c r="D10" s="60">
        <f>Q10/P9*D9</f>
        <v>702.79436257975385</v>
      </c>
      <c r="E10" s="60">
        <f>Q10/P9*E9</f>
        <v>462.34605762587887</v>
      </c>
      <c r="F10" s="60">
        <f>SUM(C10:E10)</f>
        <v>1165.1404202056328</v>
      </c>
      <c r="G10" s="60"/>
      <c r="H10" s="60">
        <f>Q10/P9*H9</f>
        <v>896.5168415491529</v>
      </c>
      <c r="I10" s="60">
        <f>Q10/P9*I9</f>
        <v>0</v>
      </c>
      <c r="J10" s="60">
        <f>SUM(G10:I10)</f>
        <v>896.5168415491529</v>
      </c>
      <c r="K10" s="59"/>
      <c r="L10" s="59">
        <f>Q10/P9*L9</f>
        <v>451.54320640468165</v>
      </c>
      <c r="M10" s="59"/>
      <c r="N10" s="59">
        <f>SUM(K10:M10)</f>
        <v>451.54320640468165</v>
      </c>
      <c r="Q10" s="48">
        <v>2456.8000000000002</v>
      </c>
    </row>
    <row r="11" spans="1:23" ht="48.75" customHeight="1" x14ac:dyDescent="0.3">
      <c r="A11" s="58">
        <v>1200</v>
      </c>
      <c r="B11" s="55" t="s">
        <v>20</v>
      </c>
      <c r="C11" s="60"/>
      <c r="D11" s="60">
        <f>Q11/P9*D9</f>
        <v>165.7891901325639</v>
      </c>
      <c r="E11" s="60">
        <f>Q11/P9*E9</f>
        <v>109.06743499394481</v>
      </c>
      <c r="F11" s="60">
        <f>SUM(C11:E11)</f>
        <v>274.85662512650873</v>
      </c>
      <c r="G11" s="60"/>
      <c r="H11" s="60">
        <f>Q11/P9*H9</f>
        <v>211.48832292144513</v>
      </c>
      <c r="I11" s="60">
        <f>Q11/P9*I9</f>
        <v>0</v>
      </c>
      <c r="J11" s="60">
        <f>SUM(G11:I11)</f>
        <v>211.48832292144513</v>
      </c>
      <c r="K11" s="59"/>
      <c r="L11" s="59">
        <f>Q11/P9*L9</f>
        <v>106.5190423908644</v>
      </c>
      <c r="M11" s="59"/>
      <c r="N11" s="59">
        <f>SUM(K11:M11)</f>
        <v>106.5190423908644</v>
      </c>
      <c r="Q11" s="48">
        <f>Q10*0.2359</f>
        <v>579.55912000000001</v>
      </c>
    </row>
    <row r="12" spans="1:23" ht="18.75" customHeight="1" x14ac:dyDescent="0.3">
      <c r="A12" s="58">
        <v>2222</v>
      </c>
      <c r="B12" s="55" t="s">
        <v>21</v>
      </c>
      <c r="C12" s="60"/>
      <c r="D12" s="60">
        <f>Q12/P9*D9</f>
        <v>113.75782895111148</v>
      </c>
      <c r="E12" s="60">
        <f>Q12/P9*E9</f>
        <v>74.83765741455683</v>
      </c>
      <c r="F12" s="60">
        <f t="shared" ref="F12:F13" si="0">SUM(C12:E12)</f>
        <v>188.59548636566831</v>
      </c>
      <c r="G12" s="60"/>
      <c r="H12" s="60">
        <f>Q12/P9*H9</f>
        <v>145.11472337139841</v>
      </c>
      <c r="I12" s="60"/>
      <c r="J12" s="60">
        <f t="shared" ref="J12:J13" si="1">SUM(G12:I12)</f>
        <v>145.11472337139841</v>
      </c>
      <c r="K12" s="59"/>
      <c r="L12" s="59">
        <f>Q12/P9*L9</f>
        <v>73.089053602633399</v>
      </c>
      <c r="M12" s="59"/>
      <c r="N12" s="59">
        <f t="shared" ref="N12:N13" si="2">SUM(K12:M12)</f>
        <v>73.089053602633399</v>
      </c>
      <c r="Q12" s="48">
        <f>3059*0.13</f>
        <v>397.67</v>
      </c>
      <c r="R12" s="43"/>
    </row>
    <row r="13" spans="1:23" ht="15" customHeight="1" x14ac:dyDescent="0.3">
      <c r="A13" s="58">
        <v>2223</v>
      </c>
      <c r="B13" s="55" t="s">
        <v>22</v>
      </c>
      <c r="C13" s="60"/>
      <c r="D13" s="60">
        <f>Q13/P9*D9</f>
        <v>575.74328467509258</v>
      </c>
      <c r="E13" s="60">
        <f>Q13/P9*E9</f>
        <v>378.7631945381396</v>
      </c>
      <c r="F13" s="60">
        <f t="shared" si="0"/>
        <v>954.50647921323218</v>
      </c>
      <c r="G13" s="60"/>
      <c r="H13" s="60">
        <f>Q13/P9*H9</f>
        <v>734.44463786727374</v>
      </c>
      <c r="I13" s="60"/>
      <c r="J13" s="60">
        <f t="shared" si="1"/>
        <v>734.44463786727374</v>
      </c>
      <c r="K13" s="59"/>
      <c r="L13" s="59">
        <f>Q13/P9*L9</f>
        <v>369.9132814239851</v>
      </c>
      <c r="M13" s="59"/>
      <c r="N13" s="59">
        <f t="shared" si="2"/>
        <v>369.9132814239851</v>
      </c>
      <c r="Q13" s="48">
        <f>15482*0.13</f>
        <v>2012.66</v>
      </c>
      <c r="R13" s="43"/>
    </row>
    <row r="14" spans="1:23" ht="18" customHeight="1" x14ac:dyDescent="0.3">
      <c r="A14" s="56"/>
      <c r="B14" s="61" t="s">
        <v>23</v>
      </c>
      <c r="C14" s="60"/>
      <c r="D14" s="60">
        <f t="shared" ref="D14:N14" si="3">SUM(D9:D13)</f>
        <v>2261.9946663385217</v>
      </c>
      <c r="E14" s="60">
        <f t="shared" si="3"/>
        <v>1488.0943445725202</v>
      </c>
      <c r="F14" s="60">
        <f t="shared" si="3"/>
        <v>3750.0890109110419</v>
      </c>
      <c r="G14" s="60"/>
      <c r="H14" s="60">
        <f t="shared" si="3"/>
        <v>2885.5045257092702</v>
      </c>
      <c r="I14" s="60"/>
      <c r="J14" s="60">
        <f t="shared" si="3"/>
        <v>2885.5045257092702</v>
      </c>
      <c r="K14" s="60"/>
      <c r="L14" s="60">
        <f t="shared" si="3"/>
        <v>1453.3245838221646</v>
      </c>
      <c r="M14" s="60"/>
      <c r="N14" s="60">
        <f t="shared" si="3"/>
        <v>1453.3245838221646</v>
      </c>
      <c r="Q14" s="48">
        <f>SUM(Q10:Q13)</f>
        <v>5446.68912</v>
      </c>
    </row>
    <row r="15" spans="1:23" ht="18.75" customHeight="1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</row>
    <row r="16" spans="1:23" ht="35.25" customHeight="1" x14ac:dyDescent="0.3">
      <c r="A16" s="58">
        <v>1100</v>
      </c>
      <c r="B16" s="55" t="s">
        <v>25</v>
      </c>
      <c r="C16" s="60"/>
      <c r="D16" s="60">
        <f t="shared" ref="D16:F34" si="4">$U16/$T$9*D$9</f>
        <v>510.10375584183362</v>
      </c>
      <c r="E16" s="60">
        <f t="shared" si="4"/>
        <v>335.58103629048645</v>
      </c>
      <c r="F16" s="60">
        <f t="shared" si="4"/>
        <v>845.68479213232013</v>
      </c>
      <c r="G16" s="60"/>
      <c r="H16" s="60">
        <f t="shared" ref="H16:J34" si="5">$U16/$T$9*H$9</f>
        <v>650.71183321819001</v>
      </c>
      <c r="I16" s="60"/>
      <c r="J16" s="60">
        <f t="shared" si="5"/>
        <v>650.71183321819001</v>
      </c>
      <c r="K16" s="60"/>
      <c r="L16" s="60">
        <f t="shared" ref="L16:L34" si="6">$U16/$T$9*L$9</f>
        <v>327.7400869671232</v>
      </c>
      <c r="M16" s="60"/>
      <c r="N16" s="60">
        <f t="shared" ref="N16:N34" si="7">$U16/$T$9*N$9</f>
        <v>327.7400869671232</v>
      </c>
      <c r="U16" s="30">
        <v>1783.2</v>
      </c>
      <c r="V16" s="37">
        <v>1100</v>
      </c>
      <c r="W16" s="30"/>
    </row>
    <row r="17" spans="1:23" ht="60" customHeight="1" x14ac:dyDescent="0.3">
      <c r="A17" s="58">
        <v>1200</v>
      </c>
      <c r="B17" s="55" t="s">
        <v>26</v>
      </c>
      <c r="C17" s="60"/>
      <c r="D17" s="60">
        <f t="shared" si="4"/>
        <v>120.33347600308855</v>
      </c>
      <c r="E17" s="60">
        <f t="shared" si="4"/>
        <v>79.16356646092575</v>
      </c>
      <c r="F17" s="60">
        <f t="shared" si="4"/>
        <v>199.49704246401433</v>
      </c>
      <c r="G17" s="60"/>
      <c r="H17" s="60">
        <f t="shared" si="5"/>
        <v>153.50292145617104</v>
      </c>
      <c r="I17" s="60"/>
      <c r="J17" s="60">
        <f t="shared" si="5"/>
        <v>153.50292145617104</v>
      </c>
      <c r="K17" s="60"/>
      <c r="L17" s="60">
        <f t="shared" si="6"/>
        <v>77.313886515544354</v>
      </c>
      <c r="M17" s="60"/>
      <c r="N17" s="60">
        <f t="shared" si="7"/>
        <v>77.313886515544354</v>
      </c>
      <c r="U17" s="30">
        <f>U16*0.2359</f>
        <v>420.65688</v>
      </c>
      <c r="V17" s="37">
        <v>1200</v>
      </c>
      <c r="W17" s="30"/>
    </row>
    <row r="18" spans="1:23" ht="19.5" customHeight="1" x14ac:dyDescent="0.3">
      <c r="A18" s="58">
        <v>2210</v>
      </c>
      <c r="B18" s="55" t="s">
        <v>27</v>
      </c>
      <c r="C18" s="60"/>
      <c r="D18" s="60">
        <f t="shared" si="4"/>
        <v>0.39190340147112618</v>
      </c>
      <c r="E18" s="60">
        <f t="shared" si="4"/>
        <v>0.25782078270410863</v>
      </c>
      <c r="F18" s="60">
        <f t="shared" si="4"/>
        <v>0.64972418417523481</v>
      </c>
      <c r="G18" s="60"/>
      <c r="H18" s="60">
        <f t="shared" si="5"/>
        <v>0.49993001991303304</v>
      </c>
      <c r="I18" s="60"/>
      <c r="J18" s="60">
        <f t="shared" si="5"/>
        <v>0.49993001991303304</v>
      </c>
      <c r="K18" s="60"/>
      <c r="L18" s="60">
        <f t="shared" si="6"/>
        <v>0.25179672450928603</v>
      </c>
      <c r="M18" s="60"/>
      <c r="N18" s="60">
        <f t="shared" si="7"/>
        <v>0.25179672450928603</v>
      </c>
      <c r="U18" s="36">
        <v>1.37</v>
      </c>
      <c r="V18" s="37">
        <v>2210</v>
      </c>
      <c r="W18" s="36" t="s">
        <v>108</v>
      </c>
    </row>
    <row r="19" spans="1:23" ht="15.6" x14ac:dyDescent="0.3">
      <c r="A19" s="58">
        <v>2221</v>
      </c>
      <c r="B19" s="55" t="s">
        <v>28</v>
      </c>
      <c r="C19" s="60"/>
      <c r="D19" s="60">
        <f t="shared" si="4"/>
        <v>0</v>
      </c>
      <c r="E19" s="60">
        <f t="shared" si="4"/>
        <v>0</v>
      </c>
      <c r="F19" s="60">
        <f t="shared" si="4"/>
        <v>0</v>
      </c>
      <c r="G19" s="60"/>
      <c r="H19" s="60">
        <f t="shared" si="5"/>
        <v>0</v>
      </c>
      <c r="I19" s="60"/>
      <c r="J19" s="60">
        <f t="shared" si="5"/>
        <v>0</v>
      </c>
      <c r="K19" s="60"/>
      <c r="L19" s="60">
        <f t="shared" si="6"/>
        <v>0</v>
      </c>
      <c r="M19" s="60"/>
      <c r="N19" s="60">
        <f t="shared" si="7"/>
        <v>0</v>
      </c>
      <c r="U19" s="36">
        <v>0</v>
      </c>
      <c r="V19" s="37">
        <v>2221</v>
      </c>
      <c r="W19" s="36" t="s">
        <v>89</v>
      </c>
    </row>
    <row r="20" spans="1:23" ht="20.25" customHeight="1" x14ac:dyDescent="0.3">
      <c r="A20" s="58">
        <v>2224</v>
      </c>
      <c r="B20" s="55" t="s">
        <v>29</v>
      </c>
      <c r="C20" s="60"/>
      <c r="D20" s="60">
        <f t="shared" si="4"/>
        <v>0.57212175397244691</v>
      </c>
      <c r="E20" s="60">
        <f t="shared" si="4"/>
        <v>0.37638070467753082</v>
      </c>
      <c r="F20" s="60">
        <f t="shared" si="4"/>
        <v>0.94850245864997773</v>
      </c>
      <c r="G20" s="60"/>
      <c r="H20" s="60">
        <f t="shared" si="5"/>
        <v>0.72982484658836921</v>
      </c>
      <c r="I20" s="60"/>
      <c r="J20" s="60">
        <f t="shared" si="5"/>
        <v>0.72982484658836921</v>
      </c>
      <c r="K20" s="60"/>
      <c r="L20" s="60">
        <f t="shared" si="6"/>
        <v>0.36758645913764376</v>
      </c>
      <c r="M20" s="60"/>
      <c r="N20" s="60">
        <f t="shared" si="7"/>
        <v>0.36758645913764376</v>
      </c>
      <c r="U20" s="36">
        <v>2</v>
      </c>
      <c r="V20" s="37">
        <v>2224</v>
      </c>
      <c r="W20" s="36" t="s">
        <v>90</v>
      </c>
    </row>
    <row r="21" spans="1:23" ht="29.25" customHeight="1" x14ac:dyDescent="0.3">
      <c r="A21" s="58">
        <v>2234</v>
      </c>
      <c r="B21" s="55" t="s">
        <v>30</v>
      </c>
      <c r="C21" s="60"/>
      <c r="D21" s="60">
        <f t="shared" si="4"/>
        <v>25.745478928760107</v>
      </c>
      <c r="E21" s="60">
        <f t="shared" si="4"/>
        <v>16.937131710488885</v>
      </c>
      <c r="F21" s="60">
        <f t="shared" si="4"/>
        <v>42.682610639248992</v>
      </c>
      <c r="G21" s="60"/>
      <c r="H21" s="60">
        <f t="shared" si="5"/>
        <v>32.842118096476611</v>
      </c>
      <c r="I21" s="60"/>
      <c r="J21" s="60">
        <f t="shared" si="5"/>
        <v>32.842118096476611</v>
      </c>
      <c r="K21" s="60"/>
      <c r="L21" s="60">
        <f t="shared" si="6"/>
        <v>16.541390661193969</v>
      </c>
      <c r="M21" s="60"/>
      <c r="N21" s="60">
        <f t="shared" si="7"/>
        <v>16.541390661193969</v>
      </c>
      <c r="U21" s="36">
        <f>3*30</f>
        <v>90</v>
      </c>
      <c r="V21" s="37">
        <v>2234</v>
      </c>
      <c r="W21" s="36" t="s">
        <v>91</v>
      </c>
    </row>
    <row r="22" spans="1:23" ht="18" customHeight="1" x14ac:dyDescent="0.3">
      <c r="A22" s="58">
        <v>2235</v>
      </c>
      <c r="B22" s="55" t="s">
        <v>31</v>
      </c>
      <c r="C22" s="60"/>
      <c r="D22" s="60">
        <f t="shared" si="4"/>
        <v>17.163652619173408</v>
      </c>
      <c r="E22" s="60">
        <f t="shared" si="4"/>
        <v>11.291421140325925</v>
      </c>
      <c r="F22" s="60">
        <f t="shared" si="4"/>
        <v>28.455073759499335</v>
      </c>
      <c r="G22" s="60"/>
      <c r="H22" s="60">
        <f t="shared" si="5"/>
        <v>21.894745397651079</v>
      </c>
      <c r="I22" s="60"/>
      <c r="J22" s="60">
        <f t="shared" si="5"/>
        <v>21.894745397651079</v>
      </c>
      <c r="K22" s="60"/>
      <c r="L22" s="60">
        <f t="shared" si="6"/>
        <v>11.027593774129315</v>
      </c>
      <c r="M22" s="60"/>
      <c r="N22" s="60">
        <f t="shared" si="7"/>
        <v>11.027593774129315</v>
      </c>
      <c r="U22" s="36">
        <f>3*20</f>
        <v>60</v>
      </c>
      <c r="V22" s="37">
        <v>2235</v>
      </c>
      <c r="W22" s="36" t="s">
        <v>92</v>
      </c>
    </row>
    <row r="23" spans="1:23" ht="21.75" customHeight="1" x14ac:dyDescent="0.3">
      <c r="A23" s="58">
        <v>2243</v>
      </c>
      <c r="B23" s="55" t="s">
        <v>32</v>
      </c>
      <c r="C23" s="60"/>
      <c r="D23" s="60">
        <f t="shared" si="4"/>
        <v>16.926222091274841</v>
      </c>
      <c r="E23" s="60">
        <f t="shared" si="4"/>
        <v>11.13522314788475</v>
      </c>
      <c r="F23" s="60">
        <f t="shared" si="4"/>
        <v>28.061445239159593</v>
      </c>
      <c r="G23" s="60"/>
      <c r="H23" s="60">
        <f t="shared" si="5"/>
        <v>21.591868086316907</v>
      </c>
      <c r="I23" s="60"/>
      <c r="J23" s="60">
        <f t="shared" si="5"/>
        <v>21.591868086316907</v>
      </c>
      <c r="K23" s="60"/>
      <c r="L23" s="60">
        <f t="shared" si="6"/>
        <v>10.875045393587191</v>
      </c>
      <c r="M23" s="60"/>
      <c r="N23" s="60">
        <f t="shared" si="7"/>
        <v>10.875045393587191</v>
      </c>
      <c r="U23" s="36">
        <v>59.17</v>
      </c>
      <c r="V23" s="37">
        <v>2243</v>
      </c>
      <c r="W23" s="36" t="s">
        <v>93</v>
      </c>
    </row>
    <row r="24" spans="1:23" ht="23.25" customHeight="1" x14ac:dyDescent="0.3">
      <c r="A24" s="58">
        <v>2244</v>
      </c>
      <c r="B24" s="55" t="s">
        <v>33</v>
      </c>
      <c r="C24" s="60"/>
      <c r="D24" s="60">
        <f t="shared" si="4"/>
        <v>0.50346714349575328</v>
      </c>
      <c r="E24" s="60">
        <f t="shared" si="4"/>
        <v>0.33121502011622711</v>
      </c>
      <c r="F24" s="60">
        <f t="shared" si="4"/>
        <v>0.83468216361198044</v>
      </c>
      <c r="G24" s="60"/>
      <c r="H24" s="60">
        <f t="shared" si="5"/>
        <v>0.64224586499776504</v>
      </c>
      <c r="I24" s="60"/>
      <c r="J24" s="60">
        <f t="shared" si="5"/>
        <v>0.64224586499776504</v>
      </c>
      <c r="K24" s="60"/>
      <c r="L24" s="60">
        <f t="shared" si="6"/>
        <v>0.32347608404112654</v>
      </c>
      <c r="M24" s="60"/>
      <c r="N24" s="60">
        <f t="shared" si="7"/>
        <v>0.32347608404112654</v>
      </c>
      <c r="U24" s="36">
        <v>1.76</v>
      </c>
      <c r="V24" s="37">
        <v>2244</v>
      </c>
      <c r="W24" s="36" t="s">
        <v>94</v>
      </c>
    </row>
    <row r="25" spans="1:23" ht="21" customHeight="1" x14ac:dyDescent="0.3">
      <c r="A25" s="58">
        <v>2247</v>
      </c>
      <c r="B25" s="55" t="s">
        <v>34</v>
      </c>
      <c r="C25" s="60"/>
      <c r="D25" s="60">
        <f t="shared" si="4"/>
        <v>3.7187914008209047E-2</v>
      </c>
      <c r="E25" s="60">
        <f t="shared" si="4"/>
        <v>2.4464745804039505E-2</v>
      </c>
      <c r="F25" s="60">
        <f t="shared" si="4"/>
        <v>6.1652659812248559E-2</v>
      </c>
      <c r="G25" s="60"/>
      <c r="H25" s="60">
        <f t="shared" si="5"/>
        <v>4.7438615028244008E-2</v>
      </c>
      <c r="I25" s="60"/>
      <c r="J25" s="60">
        <f t="shared" si="5"/>
        <v>4.7438615028244008E-2</v>
      </c>
      <c r="K25" s="60"/>
      <c r="L25" s="60">
        <f t="shared" si="6"/>
        <v>2.3893119843946847E-2</v>
      </c>
      <c r="M25" s="60"/>
      <c r="N25" s="60">
        <f t="shared" si="7"/>
        <v>2.3893119843946847E-2</v>
      </c>
      <c r="U25" s="36">
        <v>0.13</v>
      </c>
      <c r="V25" s="37">
        <v>2247</v>
      </c>
      <c r="W25" s="36" t="s">
        <v>95</v>
      </c>
    </row>
    <row r="26" spans="1:23" ht="20.25" customHeight="1" x14ac:dyDescent="0.3">
      <c r="A26" s="58">
        <v>2251</v>
      </c>
      <c r="B26" s="55" t="s">
        <v>35</v>
      </c>
      <c r="C26" s="60"/>
      <c r="D26" s="60">
        <f t="shared" si="4"/>
        <v>0</v>
      </c>
      <c r="E26" s="60">
        <f t="shared" si="4"/>
        <v>0</v>
      </c>
      <c r="F26" s="60">
        <f t="shared" si="4"/>
        <v>0</v>
      </c>
      <c r="G26" s="60"/>
      <c r="H26" s="60">
        <f t="shared" si="5"/>
        <v>0</v>
      </c>
      <c r="I26" s="60"/>
      <c r="J26" s="60">
        <f t="shared" si="5"/>
        <v>0</v>
      </c>
      <c r="K26" s="60"/>
      <c r="L26" s="60">
        <f t="shared" si="6"/>
        <v>0</v>
      </c>
      <c r="M26" s="60"/>
      <c r="N26" s="60">
        <f t="shared" si="7"/>
        <v>0</v>
      </c>
      <c r="U26" s="36">
        <v>0</v>
      </c>
      <c r="V26" s="37">
        <v>2251</v>
      </c>
      <c r="W26" s="36" t="s">
        <v>96</v>
      </c>
    </row>
    <row r="27" spans="1:23" ht="17.25" customHeight="1" x14ac:dyDescent="0.3">
      <c r="A27" s="58">
        <v>2311</v>
      </c>
      <c r="B27" s="55" t="s">
        <v>36</v>
      </c>
      <c r="C27" s="60"/>
      <c r="D27" s="60">
        <f t="shared" si="4"/>
        <v>2.454402324541797</v>
      </c>
      <c r="E27" s="60">
        <f t="shared" si="4"/>
        <v>1.6146732230666072</v>
      </c>
      <c r="F27" s="60">
        <f t="shared" si="4"/>
        <v>4.0690755476084046</v>
      </c>
      <c r="G27" s="60"/>
      <c r="H27" s="60">
        <f t="shared" si="5"/>
        <v>3.130948591864104</v>
      </c>
      <c r="I27" s="60"/>
      <c r="J27" s="60">
        <f t="shared" si="5"/>
        <v>3.130948591864104</v>
      </c>
      <c r="K27" s="60"/>
      <c r="L27" s="60">
        <f t="shared" si="6"/>
        <v>1.5769459097004919</v>
      </c>
      <c r="M27" s="60"/>
      <c r="N27" s="60">
        <f t="shared" si="7"/>
        <v>1.5769459097004919</v>
      </c>
      <c r="U27" s="36">
        <v>8.58</v>
      </c>
      <c r="V27" s="37">
        <v>2311</v>
      </c>
      <c r="W27" s="36" t="s">
        <v>97</v>
      </c>
    </row>
    <row r="28" spans="1:23" ht="15.6" x14ac:dyDescent="0.3">
      <c r="A28" s="58">
        <v>2312</v>
      </c>
      <c r="B28" s="55" t="s">
        <v>37</v>
      </c>
      <c r="C28" s="60"/>
      <c r="D28" s="60">
        <f t="shared" si="4"/>
        <v>2.3657234526760678</v>
      </c>
      <c r="E28" s="60">
        <f t="shared" si="4"/>
        <v>1.5563342138415899</v>
      </c>
      <c r="F28" s="60">
        <f t="shared" si="4"/>
        <v>3.9220576665176581</v>
      </c>
      <c r="G28" s="60"/>
      <c r="H28" s="60">
        <f t="shared" si="5"/>
        <v>3.0178257406429068</v>
      </c>
      <c r="I28" s="60"/>
      <c r="J28" s="60">
        <f t="shared" si="5"/>
        <v>3.0178257406429068</v>
      </c>
      <c r="K28" s="60"/>
      <c r="L28" s="60">
        <f t="shared" si="6"/>
        <v>1.519970008534157</v>
      </c>
      <c r="M28" s="60"/>
      <c r="N28" s="60">
        <f t="shared" si="7"/>
        <v>1.519970008534157</v>
      </c>
      <c r="U28" s="36">
        <v>8.27</v>
      </c>
      <c r="V28" s="37">
        <v>2312</v>
      </c>
      <c r="W28" s="36" t="s">
        <v>98</v>
      </c>
    </row>
    <row r="29" spans="1:23" ht="17.25" customHeight="1" x14ac:dyDescent="0.3">
      <c r="A29" s="58">
        <v>2321</v>
      </c>
      <c r="B29" s="55" t="s">
        <v>38</v>
      </c>
      <c r="C29" s="60"/>
      <c r="D29" s="60">
        <f t="shared" si="4"/>
        <v>14.672062380623402</v>
      </c>
      <c r="E29" s="60">
        <f t="shared" si="4"/>
        <v>9.6522831714552773</v>
      </c>
      <c r="F29" s="60">
        <f t="shared" si="4"/>
        <v>24.324345552078679</v>
      </c>
      <c r="G29" s="60"/>
      <c r="H29" s="60">
        <f t="shared" si="5"/>
        <v>18.716358190758729</v>
      </c>
      <c r="I29" s="60"/>
      <c r="J29" s="60">
        <f t="shared" si="5"/>
        <v>18.716358190758729</v>
      </c>
      <c r="K29" s="60"/>
      <c r="L29" s="60">
        <f t="shared" si="6"/>
        <v>9.4267547445848745</v>
      </c>
      <c r="M29" s="60"/>
      <c r="N29" s="60">
        <f t="shared" si="7"/>
        <v>9.4267547445848745</v>
      </c>
      <c r="U29" s="36">
        <v>51.29</v>
      </c>
      <c r="V29" s="37">
        <v>2321</v>
      </c>
      <c r="W29" s="36" t="s">
        <v>99</v>
      </c>
    </row>
    <row r="30" spans="1:23" ht="18.75" customHeight="1" x14ac:dyDescent="0.3">
      <c r="A30" s="58">
        <v>2341</v>
      </c>
      <c r="B30" s="55" t="s">
        <v>39</v>
      </c>
      <c r="C30" s="60"/>
      <c r="D30" s="60">
        <f t="shared" si="4"/>
        <v>3.146669646848458E-2</v>
      </c>
      <c r="E30" s="60">
        <f t="shared" si="4"/>
        <v>2.0700938757264194E-2</v>
      </c>
      <c r="F30" s="60">
        <f t="shared" si="4"/>
        <v>5.2167635225748778E-2</v>
      </c>
      <c r="G30" s="60"/>
      <c r="H30" s="60">
        <f t="shared" si="5"/>
        <v>4.0140366562360315E-2</v>
      </c>
      <c r="I30" s="60"/>
      <c r="J30" s="60">
        <f t="shared" si="5"/>
        <v>4.0140366562360315E-2</v>
      </c>
      <c r="K30" s="60"/>
      <c r="L30" s="60">
        <f t="shared" si="6"/>
        <v>2.0217255252570409E-2</v>
      </c>
      <c r="M30" s="60"/>
      <c r="N30" s="60">
        <f t="shared" si="7"/>
        <v>2.0217255252570409E-2</v>
      </c>
      <c r="U30" s="36">
        <v>0.11</v>
      </c>
      <c r="V30" s="37" t="s">
        <v>104</v>
      </c>
      <c r="W30" s="36" t="s">
        <v>100</v>
      </c>
    </row>
    <row r="31" spans="1:23" ht="18" customHeight="1" x14ac:dyDescent="0.3">
      <c r="A31" s="58">
        <v>2351</v>
      </c>
      <c r="B31" s="55" t="s">
        <v>40</v>
      </c>
      <c r="C31" s="60"/>
      <c r="D31" s="60">
        <f t="shared" si="4"/>
        <v>5.6153750152395654</v>
      </c>
      <c r="E31" s="60">
        <f t="shared" si="4"/>
        <v>3.6941766164099641</v>
      </c>
      <c r="F31" s="60">
        <f t="shared" si="4"/>
        <v>9.3095516316495299</v>
      </c>
      <c r="G31" s="60"/>
      <c r="H31" s="60">
        <f t="shared" si="5"/>
        <v>7.1632308692648436</v>
      </c>
      <c r="I31" s="60"/>
      <c r="J31" s="60">
        <f t="shared" si="5"/>
        <v>7.1632308692648436</v>
      </c>
      <c r="K31" s="60"/>
      <c r="L31" s="60">
        <f t="shared" si="6"/>
        <v>3.6078610964359732</v>
      </c>
      <c r="M31" s="60"/>
      <c r="N31" s="60">
        <f t="shared" si="7"/>
        <v>3.6078610964359732</v>
      </c>
      <c r="U31" s="36">
        <v>19.63</v>
      </c>
      <c r="V31" s="37" t="s">
        <v>102</v>
      </c>
      <c r="W31" s="36" t="s">
        <v>97</v>
      </c>
    </row>
    <row r="32" spans="1:23" ht="18.75" customHeight="1" x14ac:dyDescent="0.3">
      <c r="A32" s="58">
        <v>2352</v>
      </c>
      <c r="B32" s="55" t="s">
        <v>41</v>
      </c>
      <c r="C32" s="60"/>
      <c r="D32" s="60">
        <f t="shared" si="4"/>
        <v>0</v>
      </c>
      <c r="E32" s="60">
        <f t="shared" si="4"/>
        <v>0</v>
      </c>
      <c r="F32" s="60">
        <f t="shared" si="4"/>
        <v>0</v>
      </c>
      <c r="G32" s="60"/>
      <c r="H32" s="60">
        <f t="shared" si="5"/>
        <v>0</v>
      </c>
      <c r="I32" s="60"/>
      <c r="J32" s="60">
        <f t="shared" si="5"/>
        <v>0</v>
      </c>
      <c r="K32" s="60"/>
      <c r="L32" s="60">
        <f t="shared" si="6"/>
        <v>0</v>
      </c>
      <c r="M32" s="60"/>
      <c r="N32" s="60">
        <f t="shared" si="7"/>
        <v>0</v>
      </c>
      <c r="U32" s="36">
        <v>0</v>
      </c>
      <c r="V32" s="37" t="s">
        <v>103</v>
      </c>
      <c r="W32" s="36" t="s">
        <v>98</v>
      </c>
    </row>
    <row r="33" spans="1:23" ht="18.75" customHeight="1" x14ac:dyDescent="0.3">
      <c r="A33" s="58">
        <v>2362</v>
      </c>
      <c r="B33" s="55" t="s">
        <v>42</v>
      </c>
      <c r="C33" s="60"/>
      <c r="D33" s="60">
        <f t="shared" si="4"/>
        <v>6.2933392936969161</v>
      </c>
      <c r="E33" s="60">
        <f t="shared" si="4"/>
        <v>4.1401877514528387</v>
      </c>
      <c r="F33" s="60">
        <f t="shared" si="4"/>
        <v>10.433527045149756</v>
      </c>
      <c r="G33" s="60"/>
      <c r="H33" s="60">
        <f t="shared" si="5"/>
        <v>8.0280733124720616</v>
      </c>
      <c r="I33" s="60"/>
      <c r="J33" s="60">
        <f t="shared" si="5"/>
        <v>8.0280733124720616</v>
      </c>
      <c r="K33" s="60"/>
      <c r="L33" s="60">
        <f t="shared" si="6"/>
        <v>4.0434510505140819</v>
      </c>
      <c r="M33" s="60"/>
      <c r="N33" s="60">
        <f t="shared" si="7"/>
        <v>4.0434510505140819</v>
      </c>
      <c r="U33" s="36">
        <v>22</v>
      </c>
      <c r="V33" s="37">
        <v>2362</v>
      </c>
      <c r="W33" s="36" t="s">
        <v>101</v>
      </c>
    </row>
    <row r="34" spans="1:23" ht="18.75" customHeight="1" x14ac:dyDescent="0.3">
      <c r="A34" s="58" t="s">
        <v>13</v>
      </c>
      <c r="B34" s="55" t="s">
        <v>43</v>
      </c>
      <c r="C34" s="60"/>
      <c r="D34" s="60">
        <f t="shared" si="4"/>
        <v>30.988974803917586</v>
      </c>
      <c r="E34" s="60">
        <f t="shared" si="4"/>
        <v>20.386660868858456</v>
      </c>
      <c r="F34" s="60">
        <f t="shared" si="4"/>
        <v>51.375635672776042</v>
      </c>
      <c r="G34" s="60"/>
      <c r="H34" s="60">
        <f t="shared" si="5"/>
        <v>39.53096281545902</v>
      </c>
      <c r="I34" s="60"/>
      <c r="J34" s="60">
        <f t="shared" si="5"/>
        <v>39.53096281545902</v>
      </c>
      <c r="K34" s="60"/>
      <c r="L34" s="60">
        <f t="shared" si="6"/>
        <v>19.910320559190474</v>
      </c>
      <c r="M34" s="60"/>
      <c r="N34" s="60">
        <f t="shared" si="7"/>
        <v>19.910320559190474</v>
      </c>
      <c r="U34" s="36">
        <v>108.33</v>
      </c>
      <c r="V34" s="36">
        <v>5239</v>
      </c>
      <c r="W34" s="36" t="s">
        <v>43</v>
      </c>
    </row>
    <row r="35" spans="1:23" ht="21.75" customHeight="1" x14ac:dyDescent="0.3">
      <c r="A35" s="56"/>
      <c r="B35" s="61" t="s">
        <v>44</v>
      </c>
      <c r="C35" s="60"/>
      <c r="D35" s="60">
        <f t="shared" ref="D35:N35" si="8">SUM(D16:D34)</f>
        <v>754.19860966424187</v>
      </c>
      <c r="E35" s="60">
        <f t="shared" si="8"/>
        <v>496.16327678725577</v>
      </c>
      <c r="F35" s="60">
        <f t="shared" si="8"/>
        <v>1250.3618864514981</v>
      </c>
      <c r="G35" s="60"/>
      <c r="H35" s="60">
        <f t="shared" si="8"/>
        <v>962.09046548835704</v>
      </c>
      <c r="I35" s="60"/>
      <c r="J35" s="60">
        <f t="shared" si="8"/>
        <v>962.09046548835704</v>
      </c>
      <c r="K35" s="60"/>
      <c r="L35" s="60">
        <f t="shared" si="8"/>
        <v>484.57027632332273</v>
      </c>
      <c r="M35" s="60"/>
      <c r="N35" s="60">
        <f t="shared" si="8"/>
        <v>484.57027632332273</v>
      </c>
    </row>
    <row r="36" spans="1:23" ht="24" customHeight="1" x14ac:dyDescent="0.3">
      <c r="A36" s="55"/>
      <c r="B36" s="55" t="s">
        <v>45</v>
      </c>
      <c r="C36" s="60"/>
      <c r="D36" s="60">
        <f t="shared" ref="D36:N36" si="9">D14+D35</f>
        <v>3016.1932760027635</v>
      </c>
      <c r="E36" s="60">
        <f t="shared" si="9"/>
        <v>1984.2576213597758</v>
      </c>
      <c r="F36" s="60">
        <f t="shared" si="9"/>
        <v>5000.4508973625398</v>
      </c>
      <c r="G36" s="60"/>
      <c r="H36" s="60">
        <f t="shared" si="9"/>
        <v>3847.5949911976272</v>
      </c>
      <c r="I36" s="60"/>
      <c r="J36" s="60">
        <f t="shared" si="9"/>
        <v>3847.5949911976272</v>
      </c>
      <c r="K36" s="60"/>
      <c r="L36" s="60">
        <f t="shared" si="9"/>
        <v>1937.8948601454874</v>
      </c>
      <c r="M36" s="60"/>
      <c r="N36" s="60">
        <f t="shared" si="9"/>
        <v>1937.8948601454874</v>
      </c>
    </row>
    <row r="37" spans="1:23" ht="39.75" customHeight="1" x14ac:dyDescent="0.3">
      <c r="A37" s="55"/>
      <c r="B37" s="55" t="s">
        <v>46</v>
      </c>
      <c r="C37" s="62"/>
      <c r="D37" s="62">
        <v>733</v>
      </c>
      <c r="E37" s="62">
        <v>733</v>
      </c>
      <c r="F37" s="62" t="s">
        <v>47</v>
      </c>
      <c r="G37" s="62"/>
      <c r="H37" s="62">
        <v>990</v>
      </c>
      <c r="I37" s="62"/>
      <c r="J37" s="62" t="s">
        <v>47</v>
      </c>
      <c r="K37" s="81"/>
      <c r="L37" s="81">
        <v>467</v>
      </c>
      <c r="M37" s="81"/>
      <c r="N37" s="81" t="s">
        <v>47</v>
      </c>
    </row>
    <row r="38" spans="1:23" ht="60.75" customHeight="1" x14ac:dyDescent="0.3">
      <c r="A38" s="55"/>
      <c r="B38" s="55" t="s">
        <v>122</v>
      </c>
      <c r="C38" s="60"/>
      <c r="D38" s="63">
        <f>D14/D37</f>
        <v>3.0859408817715166</v>
      </c>
      <c r="E38" s="113">
        <f>E14/E37</f>
        <v>2.0301423527592362</v>
      </c>
      <c r="F38" s="60">
        <f>SUM(D38:E38)</f>
        <v>5.1160832345307528</v>
      </c>
      <c r="G38" s="60"/>
      <c r="H38" s="60">
        <f>H14/H37</f>
        <v>2.9146510360699698</v>
      </c>
      <c r="I38" s="60"/>
      <c r="J38" s="60">
        <f>SUM(G38:I38)</f>
        <v>2.9146510360699698</v>
      </c>
      <c r="K38" s="60"/>
      <c r="L38" s="63">
        <f>L14/L37</f>
        <v>3.1120440767069906</v>
      </c>
      <c r="M38" s="60"/>
      <c r="N38" s="60">
        <f>SUM(K38:M38)</f>
        <v>3.1120440767069906</v>
      </c>
    </row>
    <row r="39" spans="1:23" ht="66.75" customHeight="1" x14ac:dyDescent="0.3">
      <c r="A39" s="55"/>
      <c r="B39" s="55" t="s">
        <v>125</v>
      </c>
      <c r="C39" s="59"/>
      <c r="D39" s="59">
        <f>D9/D37</f>
        <v>0.96031377899045012</v>
      </c>
      <c r="E39" s="59">
        <f>E9/E37</f>
        <v>0.63175989085948159</v>
      </c>
      <c r="F39" s="59">
        <f>SUM(C39:E39)</f>
        <v>1.5920736698499316</v>
      </c>
      <c r="G39" s="59"/>
      <c r="H39" s="59">
        <f>H9/H37</f>
        <v>0.90701010101010104</v>
      </c>
      <c r="I39" s="59"/>
      <c r="J39" s="59">
        <f>G39+H39+I39</f>
        <v>0.90701010101010104</v>
      </c>
      <c r="K39" s="59"/>
      <c r="L39" s="59">
        <f>L9/L37</f>
        <v>0.96843683083511778</v>
      </c>
      <c r="M39" s="59"/>
      <c r="N39" s="59">
        <f>SUM(K39:M39)</f>
        <v>0.96843683083511778</v>
      </c>
    </row>
  </sheetData>
  <mergeCells count="5">
    <mergeCell ref="G1:N1"/>
    <mergeCell ref="C6:F6"/>
    <mergeCell ref="G6:J6"/>
    <mergeCell ref="K6:N6"/>
    <mergeCell ref="A6:B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034A-A161-4F46-A0F7-8AA368B71918}">
  <dimension ref="A1:AW39"/>
  <sheetViews>
    <sheetView zoomScale="106" zoomScaleNormal="106" workbookViewId="0">
      <selection activeCell="U5" sqref="U5"/>
    </sheetView>
  </sheetViews>
  <sheetFormatPr defaultColWidth="9.109375" defaultRowHeight="15.6" x14ac:dyDescent="0.3"/>
  <cols>
    <col min="1" max="1" width="9.109375" style="76"/>
    <col min="2" max="2" width="33.109375" style="76" customWidth="1"/>
    <col min="3" max="4" width="10.44140625" style="76" customWidth="1"/>
    <col min="5" max="5" width="9.109375" style="76"/>
    <col min="6" max="6" width="10.88671875" style="76" customWidth="1"/>
    <col min="7" max="7" width="11.6640625" style="76" customWidth="1"/>
    <col min="8" max="8" width="11.5546875" style="76" customWidth="1"/>
    <col min="9" max="9" width="9.109375" style="76"/>
    <col min="10" max="10" width="10.44140625" style="76" customWidth="1"/>
    <col min="11" max="11" width="10.33203125" style="76" customWidth="1"/>
    <col min="12" max="12" width="11.109375" style="76" customWidth="1"/>
    <col min="13" max="13" width="10.6640625" style="76" customWidth="1"/>
    <col min="14" max="14" width="10.33203125" style="76" customWidth="1"/>
    <col min="15" max="15" width="10.6640625" style="76" customWidth="1"/>
    <col min="16" max="16" width="9.109375" style="73" hidden="1" customWidth="1"/>
    <col min="17" max="17" width="12" style="73" hidden="1" customWidth="1"/>
    <col min="18" max="18" width="9.109375" style="73" hidden="1" customWidth="1"/>
    <col min="19" max="19" width="29.88671875" style="73" hidden="1" customWidth="1"/>
    <col min="20" max="20" width="0" style="75" hidden="1" customWidth="1"/>
    <col min="21" max="49" width="9.109375" style="75"/>
    <col min="50" max="16384" width="9.109375" style="76"/>
  </cols>
  <sheetData>
    <row r="1" spans="1:20" ht="74.25" customHeight="1" x14ac:dyDescent="0.3">
      <c r="A1" s="66"/>
      <c r="B1" s="66"/>
      <c r="C1" s="66"/>
      <c r="D1" s="66"/>
      <c r="E1" s="66"/>
      <c r="F1" s="66"/>
      <c r="G1" s="66"/>
      <c r="H1" s="66"/>
      <c r="I1" s="14" t="s">
        <v>150</v>
      </c>
      <c r="J1" s="14"/>
      <c r="K1" s="14"/>
      <c r="L1" s="14"/>
      <c r="M1" s="14"/>
      <c r="N1" s="14"/>
      <c r="O1" s="14"/>
    </row>
    <row r="2" spans="1:20" x14ac:dyDescent="0.3">
      <c r="A2" s="118"/>
      <c r="B2" s="118"/>
      <c r="C2" s="108"/>
      <c r="D2" s="108"/>
      <c r="E2" s="108"/>
      <c r="F2" s="97"/>
      <c r="G2" s="97"/>
      <c r="H2" s="97"/>
      <c r="I2" s="97"/>
      <c r="J2" s="97"/>
      <c r="K2" s="119"/>
      <c r="L2" s="119"/>
      <c r="M2" s="70"/>
      <c r="N2" s="70"/>
      <c r="O2" s="70"/>
    </row>
    <row r="3" spans="1:20" x14ac:dyDescent="0.3">
      <c r="A3" s="64" t="s">
        <v>14</v>
      </c>
      <c r="B3" s="65"/>
      <c r="C3" s="71"/>
      <c r="D3" s="71"/>
      <c r="E3" s="71"/>
      <c r="F3" s="71"/>
      <c r="G3" s="71"/>
      <c r="H3" s="71"/>
      <c r="I3" s="71"/>
      <c r="J3" s="71"/>
      <c r="K3" s="70"/>
      <c r="L3" s="70"/>
      <c r="M3" s="70"/>
      <c r="N3" s="70"/>
      <c r="O3" s="70"/>
    </row>
    <row r="4" spans="1:20" x14ac:dyDescent="0.3">
      <c r="A4" s="16" t="s">
        <v>126</v>
      </c>
      <c r="B4" s="66"/>
      <c r="C4" s="65"/>
      <c r="D4" s="71"/>
      <c r="E4" s="71"/>
      <c r="F4" s="71"/>
      <c r="G4" s="71"/>
      <c r="H4" s="71"/>
      <c r="I4" s="71"/>
      <c r="J4" s="71"/>
      <c r="K4" s="70"/>
      <c r="L4" s="70"/>
      <c r="M4" s="70"/>
      <c r="N4" s="70"/>
      <c r="O4" s="70"/>
    </row>
    <row r="5" spans="1:20" x14ac:dyDescent="0.3">
      <c r="B5" s="79"/>
    </row>
    <row r="6" spans="1:20" ht="46.8" x14ac:dyDescent="0.3">
      <c r="A6" s="9" t="s">
        <v>76</v>
      </c>
      <c r="B6" s="8"/>
      <c r="C6" s="11" t="s">
        <v>77</v>
      </c>
      <c r="D6" s="11"/>
      <c r="E6" s="11"/>
      <c r="F6" s="11"/>
      <c r="G6" s="11" t="s">
        <v>78</v>
      </c>
      <c r="H6" s="11"/>
      <c r="I6" s="11"/>
      <c r="J6" s="11"/>
      <c r="K6" s="10" t="s">
        <v>70</v>
      </c>
      <c r="L6" s="10"/>
      <c r="M6" s="10"/>
      <c r="N6" s="10"/>
      <c r="O6" s="58" t="s">
        <v>71</v>
      </c>
      <c r="Q6" s="74" t="s">
        <v>84</v>
      </c>
      <c r="R6" s="74" t="s">
        <v>86</v>
      </c>
    </row>
    <row r="7" spans="1:20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  <c r="O7" s="57" t="s">
        <v>2</v>
      </c>
    </row>
    <row r="8" spans="1:20" ht="22.5" customHeight="1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20" ht="21" customHeight="1" x14ac:dyDescent="0.3">
      <c r="A9" s="58">
        <v>2363</v>
      </c>
      <c r="B9" s="55" t="s">
        <v>18</v>
      </c>
      <c r="C9" s="59">
        <v>77.790000000000006</v>
      </c>
      <c r="D9" s="59">
        <v>152.31</v>
      </c>
      <c r="E9" s="59">
        <v>55.53</v>
      </c>
      <c r="F9" s="59">
        <f>C9+D9+E9</f>
        <v>285.63</v>
      </c>
      <c r="G9" s="59">
        <v>174.39</v>
      </c>
      <c r="H9" s="59">
        <v>359.35</v>
      </c>
      <c r="I9" s="59">
        <v>120.34</v>
      </c>
      <c r="J9" s="59">
        <f>SUM(G9:I9)</f>
        <v>654.08000000000004</v>
      </c>
      <c r="K9" s="59"/>
      <c r="L9" s="59">
        <v>276.37</v>
      </c>
      <c r="M9" s="59"/>
      <c r="N9" s="59">
        <f>SUM(K9:M9)</f>
        <v>276.37</v>
      </c>
      <c r="O9" s="120">
        <v>533.17999999999995</v>
      </c>
      <c r="Q9" s="77">
        <v>1859.27</v>
      </c>
    </row>
    <row r="10" spans="1:20" ht="29.25" customHeight="1" x14ac:dyDescent="0.3">
      <c r="A10" s="58">
        <v>1100</v>
      </c>
      <c r="B10" s="55" t="s">
        <v>19</v>
      </c>
      <c r="C10" s="60">
        <f>R10/Q9*C9</f>
        <v>71.067727656553387</v>
      </c>
      <c r="D10" s="60">
        <f>R10/Q9*D9</f>
        <v>139.14803444362573</v>
      </c>
      <c r="E10" s="60">
        <f>R10/Q9*E9</f>
        <v>50.731339719352221</v>
      </c>
      <c r="F10" s="60">
        <f>SUM(C10:E10)</f>
        <v>260.94710181953133</v>
      </c>
      <c r="G10" s="60">
        <f>R10/Q9*G9</f>
        <v>159.31997719535084</v>
      </c>
      <c r="H10" s="60">
        <f>R10/Q9*H9</f>
        <v>328.29654111559915</v>
      </c>
      <c r="I10" s="60">
        <f>R10/Q9*I9</f>
        <v>109.94074233435704</v>
      </c>
      <c r="J10" s="60">
        <f>SUM(G10:I10)</f>
        <v>597.55726064530711</v>
      </c>
      <c r="K10" s="59"/>
      <c r="L10" s="59">
        <f>R10/Q9*L9</f>
        <v>252.48731061115384</v>
      </c>
      <c r="M10" s="59"/>
      <c r="N10" s="59">
        <f>SUM(K10:M10)</f>
        <v>252.48731061115384</v>
      </c>
      <c r="O10" s="120">
        <f>R10/Q9*O9</f>
        <v>487.10491106724675</v>
      </c>
      <c r="R10" s="73">
        <v>1698.6</v>
      </c>
    </row>
    <row r="11" spans="1:20" ht="62.25" customHeight="1" x14ac:dyDescent="0.3">
      <c r="A11" s="58">
        <v>1200</v>
      </c>
      <c r="B11" s="55" t="s">
        <v>20</v>
      </c>
      <c r="C11" s="60">
        <f>R11/Q9*C9</f>
        <v>16.764876954180941</v>
      </c>
      <c r="D11" s="60">
        <f>R11/Q9*D9</f>
        <v>32.825021325251306</v>
      </c>
      <c r="E11" s="60">
        <f>R11/Q9*E9</f>
        <v>11.967523039795188</v>
      </c>
      <c r="F11" s="60">
        <f>SUM(C11:E11)</f>
        <v>61.557421319227437</v>
      </c>
      <c r="G11" s="60">
        <f>R11/Q9*G9</f>
        <v>37.583582620383261</v>
      </c>
      <c r="H11" s="60">
        <f>R11/Q9*H9</f>
        <v>77.44515404916983</v>
      </c>
      <c r="I11" s="60">
        <f>R11/Q9*I9</f>
        <v>25.935021116674822</v>
      </c>
      <c r="J11" s="60">
        <f>SUM(G11:I11)</f>
        <v>140.96375778622792</v>
      </c>
      <c r="K11" s="59"/>
      <c r="L11" s="59">
        <f>R11/Q9*L9</f>
        <v>59.561756573171188</v>
      </c>
      <c r="M11" s="59"/>
      <c r="N11" s="59">
        <f>SUM(K11:M11)</f>
        <v>59.561756573171188</v>
      </c>
      <c r="O11" s="114">
        <f>R11/Q9*O9</f>
        <v>114.9080485207635</v>
      </c>
      <c r="R11" s="73">
        <f>R10*0.2359</f>
        <v>400.69973999999996</v>
      </c>
    </row>
    <row r="12" spans="1:20" ht="23.25" customHeight="1" x14ac:dyDescent="0.3">
      <c r="A12" s="58">
        <v>2222</v>
      </c>
      <c r="B12" s="55" t="s">
        <v>21</v>
      </c>
      <c r="C12" s="60">
        <f>R12/Q9*C9</f>
        <v>11.59609760820107</v>
      </c>
      <c r="D12" s="60">
        <f>R12/Q9*D9</f>
        <v>22.704738741549107</v>
      </c>
      <c r="E12" s="60">
        <f>R12/Q9*E9</f>
        <v>8.2778159169996837</v>
      </c>
      <c r="F12" s="60">
        <f t="shared" ref="F12:F13" si="0">SUM(C12:E12)</f>
        <v>42.578652266749863</v>
      </c>
      <c r="G12" s="60">
        <f>R12/Q9*G9</f>
        <v>25.996187966244818</v>
      </c>
      <c r="H12" s="60">
        <f>R12/Q9*H9</f>
        <v>53.568037993406023</v>
      </c>
      <c r="I12" s="60">
        <f>R12/Q9*I9</f>
        <v>17.938994551625104</v>
      </c>
      <c r="J12" s="60">
        <f t="shared" ref="J12:J13" si="1">SUM(G12:I12)</f>
        <v>97.503220511275941</v>
      </c>
      <c r="K12" s="59"/>
      <c r="L12" s="59">
        <f>R12/Q9*L9</f>
        <v>41.198270934291422</v>
      </c>
      <c r="M12" s="59"/>
      <c r="N12" s="59">
        <f t="shared" ref="N12:N13" si="2">SUM(K12:M12)</f>
        <v>41.198270934291422</v>
      </c>
      <c r="O12" s="114">
        <f>R12/Q9*O9</f>
        <v>79.480747174966524</v>
      </c>
      <c r="R12" s="73">
        <f>2132*0.13</f>
        <v>277.16000000000003</v>
      </c>
    </row>
    <row r="13" spans="1:20" ht="18.75" customHeight="1" x14ac:dyDescent="0.3">
      <c r="A13" s="58">
        <v>2223</v>
      </c>
      <c r="B13" s="55" t="s">
        <v>22</v>
      </c>
      <c r="C13" s="60">
        <f>R13/Q9*C9</f>
        <v>39.618187137962757</v>
      </c>
      <c r="D13" s="60">
        <f>R13/Q9*D9</f>
        <v>77.570974199551443</v>
      </c>
      <c r="E13" s="60">
        <f>R13/Q9*E9</f>
        <v>28.281243498792541</v>
      </c>
      <c r="F13" s="60">
        <f t="shared" si="0"/>
        <v>145.47040483630676</v>
      </c>
      <c r="G13" s="60">
        <f>R13/Q9*G9</f>
        <v>88.81624444002216</v>
      </c>
      <c r="H13" s="60">
        <f>R13/Q9*H9</f>
        <v>183.01575457034215</v>
      </c>
      <c r="I13" s="60">
        <f>R13/Q9*I9</f>
        <v>61.288759997203208</v>
      </c>
      <c r="J13" s="60">
        <f t="shared" si="1"/>
        <v>333.12075900756753</v>
      </c>
      <c r="K13" s="59"/>
      <c r="L13" s="59">
        <f>R13/Q9*L9</f>
        <v>140.75431776987745</v>
      </c>
      <c r="M13" s="59"/>
      <c r="N13" s="59">
        <f t="shared" si="2"/>
        <v>140.75431776987745</v>
      </c>
      <c r="O13" s="114">
        <f>R13/Q9*O9</f>
        <v>271.54679288107695</v>
      </c>
      <c r="R13" s="73">
        <f>7284*0.13</f>
        <v>946.92000000000007</v>
      </c>
    </row>
    <row r="14" spans="1:20" ht="23.25" customHeight="1" x14ac:dyDescent="0.3">
      <c r="A14" s="56"/>
      <c r="B14" s="61" t="s">
        <v>23</v>
      </c>
      <c r="C14" s="60">
        <f>SUM(C9:C13)</f>
        <v>216.83688935689815</v>
      </c>
      <c r="D14" s="60">
        <f t="shared" ref="D14:O14" si="3">SUM(D9:D13)</f>
        <v>424.55876870997758</v>
      </c>
      <c r="E14" s="60">
        <f t="shared" si="3"/>
        <v>154.78792217493964</v>
      </c>
      <c r="F14" s="60">
        <f t="shared" si="3"/>
        <v>796.18358024181532</v>
      </c>
      <c r="G14" s="60">
        <f t="shared" si="3"/>
        <v>486.10599222200102</v>
      </c>
      <c r="H14" s="60">
        <f t="shared" si="3"/>
        <v>1001.6754877285171</v>
      </c>
      <c r="I14" s="60">
        <f t="shared" si="3"/>
        <v>335.44351799986021</v>
      </c>
      <c r="J14" s="60">
        <f t="shared" si="3"/>
        <v>1823.2249979503786</v>
      </c>
      <c r="K14" s="60"/>
      <c r="L14" s="60">
        <f t="shared" si="3"/>
        <v>770.37165588849393</v>
      </c>
      <c r="M14" s="60"/>
      <c r="N14" s="60">
        <f t="shared" si="3"/>
        <v>770.37165588849393</v>
      </c>
      <c r="O14" s="60">
        <f t="shared" si="3"/>
        <v>1486.2204996440537</v>
      </c>
      <c r="R14" s="73">
        <f>SUM(R10:R13)</f>
        <v>3323.3797399999999</v>
      </c>
    </row>
    <row r="15" spans="1:20" ht="27" customHeight="1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  <c r="O15" s="59"/>
    </row>
    <row r="16" spans="1:20" ht="39" customHeight="1" x14ac:dyDescent="0.3">
      <c r="A16" s="58">
        <v>1100</v>
      </c>
      <c r="B16" s="55" t="s">
        <v>25</v>
      </c>
      <c r="C16" s="60">
        <f t="shared" ref="C16:J25" si="4">$R16/$Q$9*C$9</f>
        <v>16.623472007831033</v>
      </c>
      <c r="D16" s="60">
        <f t="shared" si="4"/>
        <v>32.548155566431987</v>
      </c>
      <c r="E16" s="60">
        <f t="shared" si="4"/>
        <v>11.866581830503371</v>
      </c>
      <c r="F16" s="60">
        <f t="shared" si="4"/>
        <v>61.038209404766391</v>
      </c>
      <c r="G16" s="60">
        <f t="shared" si="4"/>
        <v>37.266580324535973</v>
      </c>
      <c r="H16" s="60">
        <f t="shared" si="4"/>
        <v>76.791935544595461</v>
      </c>
      <c r="I16" s="60">
        <f t="shared" si="4"/>
        <v>25.716269718760589</v>
      </c>
      <c r="J16" s="60">
        <f t="shared" si="4"/>
        <v>139.77478558789204</v>
      </c>
      <c r="K16" s="60"/>
      <c r="L16" s="60">
        <f t="shared" ref="L16:L34" si="5">$R16/$Q$9*L$9</f>
        <v>59.05937728248184</v>
      </c>
      <c r="M16" s="60"/>
      <c r="N16" s="60">
        <f t="shared" ref="N16:O34" si="6">$R16/$Q$9*N$9</f>
        <v>59.05937728248184</v>
      </c>
      <c r="O16" s="60">
        <f t="shared" si="6"/>
        <v>113.9388456759911</v>
      </c>
      <c r="R16" s="68">
        <v>397.32</v>
      </c>
      <c r="S16" s="121">
        <v>1100</v>
      </c>
      <c r="T16" s="69"/>
    </row>
    <row r="17" spans="1:20" ht="76.5" customHeight="1" x14ac:dyDescent="0.3">
      <c r="A17" s="58">
        <v>1200</v>
      </c>
      <c r="B17" s="55" t="s">
        <v>26</v>
      </c>
      <c r="C17" s="60">
        <f t="shared" si="4"/>
        <v>3.9214770466473405</v>
      </c>
      <c r="D17" s="60">
        <f t="shared" si="4"/>
        <v>7.6781098981213063</v>
      </c>
      <c r="E17" s="60">
        <f t="shared" si="4"/>
        <v>2.7993266538157453</v>
      </c>
      <c r="F17" s="60">
        <f t="shared" si="4"/>
        <v>14.398913598584391</v>
      </c>
      <c r="G17" s="60">
        <f t="shared" si="4"/>
        <v>8.7911862985580367</v>
      </c>
      <c r="H17" s="60">
        <f t="shared" si="4"/>
        <v>18.115217594970073</v>
      </c>
      <c r="I17" s="60">
        <f t="shared" si="4"/>
        <v>6.066468026655623</v>
      </c>
      <c r="J17" s="60">
        <f t="shared" si="4"/>
        <v>32.972871920183735</v>
      </c>
      <c r="K17" s="60"/>
      <c r="L17" s="60">
        <f t="shared" si="5"/>
        <v>13.932107100937465</v>
      </c>
      <c r="M17" s="60"/>
      <c r="N17" s="60">
        <f t="shared" si="6"/>
        <v>13.932107100937465</v>
      </c>
      <c r="O17" s="60">
        <f t="shared" si="6"/>
        <v>26.878173694966303</v>
      </c>
      <c r="R17" s="68">
        <f>R16*0.2359</f>
        <v>93.727788000000004</v>
      </c>
      <c r="S17" s="121">
        <v>1200</v>
      </c>
      <c r="T17" s="69"/>
    </row>
    <row r="18" spans="1:20" ht="27.75" customHeight="1" x14ac:dyDescent="0.3">
      <c r="A18" s="58">
        <v>2210</v>
      </c>
      <c r="B18" s="55" t="s">
        <v>27</v>
      </c>
      <c r="C18" s="60">
        <f t="shared" si="4"/>
        <v>0.37655101195630547</v>
      </c>
      <c r="D18" s="60">
        <f t="shared" si="4"/>
        <v>0.73727323089169405</v>
      </c>
      <c r="E18" s="60">
        <f t="shared" si="4"/>
        <v>0.26879904478639466</v>
      </c>
      <c r="F18" s="60">
        <f t="shared" si="4"/>
        <v>1.382623287634394</v>
      </c>
      <c r="G18" s="60">
        <f t="shared" si="4"/>
        <v>0.84415388835403138</v>
      </c>
      <c r="H18" s="60">
        <f t="shared" si="4"/>
        <v>1.7394730189805676</v>
      </c>
      <c r="I18" s="60">
        <f t="shared" si="4"/>
        <v>0.58251894560768469</v>
      </c>
      <c r="J18" s="60">
        <f t="shared" si="4"/>
        <v>3.1661458529422841</v>
      </c>
      <c r="K18" s="60"/>
      <c r="L18" s="60">
        <f t="shared" si="5"/>
        <v>1.3377992437892292</v>
      </c>
      <c r="M18" s="60"/>
      <c r="N18" s="60">
        <f t="shared" si="6"/>
        <v>1.3377992437892292</v>
      </c>
      <c r="O18" s="60">
        <f t="shared" si="6"/>
        <v>2.5809161660221482</v>
      </c>
      <c r="R18" s="51">
        <v>9</v>
      </c>
      <c r="S18" s="121">
        <v>2210</v>
      </c>
      <c r="T18" s="31" t="s">
        <v>108</v>
      </c>
    </row>
    <row r="19" spans="1:20" x14ac:dyDescent="0.3">
      <c r="A19" s="58">
        <v>2221</v>
      </c>
      <c r="B19" s="55" t="s">
        <v>28</v>
      </c>
      <c r="C19" s="60">
        <f t="shared" si="4"/>
        <v>0</v>
      </c>
      <c r="D19" s="60">
        <f t="shared" si="4"/>
        <v>0</v>
      </c>
      <c r="E19" s="60">
        <f t="shared" si="4"/>
        <v>0</v>
      </c>
      <c r="F19" s="60">
        <f t="shared" si="4"/>
        <v>0</v>
      </c>
      <c r="G19" s="60">
        <f t="shared" si="4"/>
        <v>0</v>
      </c>
      <c r="H19" s="60">
        <f t="shared" si="4"/>
        <v>0</v>
      </c>
      <c r="I19" s="60">
        <f t="shared" si="4"/>
        <v>0</v>
      </c>
      <c r="J19" s="60">
        <f t="shared" si="4"/>
        <v>0</v>
      </c>
      <c r="K19" s="60"/>
      <c r="L19" s="60">
        <f t="shared" si="5"/>
        <v>0</v>
      </c>
      <c r="M19" s="60"/>
      <c r="N19" s="60">
        <f t="shared" si="6"/>
        <v>0</v>
      </c>
      <c r="O19" s="60">
        <f t="shared" si="6"/>
        <v>0</v>
      </c>
      <c r="R19" s="51">
        <v>0</v>
      </c>
      <c r="S19" s="121">
        <v>2221</v>
      </c>
      <c r="T19" s="31" t="s">
        <v>89</v>
      </c>
    </row>
    <row r="20" spans="1:20" ht="22.5" customHeight="1" x14ac:dyDescent="0.3">
      <c r="A20" s="58">
        <v>2224</v>
      </c>
      <c r="B20" s="55" t="s">
        <v>29</v>
      </c>
      <c r="C20" s="60">
        <f t="shared" si="4"/>
        <v>0.71126302258413265</v>
      </c>
      <c r="D20" s="60">
        <f t="shared" si="4"/>
        <v>1.3926272139065334</v>
      </c>
      <c r="E20" s="60">
        <f t="shared" si="4"/>
        <v>0.50773152904096774</v>
      </c>
      <c r="F20" s="60">
        <f t="shared" si="4"/>
        <v>2.6116217655316336</v>
      </c>
      <c r="G20" s="60">
        <f t="shared" si="4"/>
        <v>1.5945129002242815</v>
      </c>
      <c r="H20" s="60">
        <f t="shared" si="4"/>
        <v>3.2856712580744061</v>
      </c>
      <c r="I20" s="60">
        <f t="shared" si="4"/>
        <v>1.100313563925627</v>
      </c>
      <c r="J20" s="60">
        <f t="shared" si="4"/>
        <v>5.9804977222243147</v>
      </c>
      <c r="K20" s="60"/>
      <c r="L20" s="60">
        <f t="shared" si="5"/>
        <v>2.5269541271574329</v>
      </c>
      <c r="M20" s="60"/>
      <c r="N20" s="60">
        <f t="shared" si="6"/>
        <v>2.5269541271574329</v>
      </c>
      <c r="O20" s="60">
        <f t="shared" si="6"/>
        <v>4.8750638691529469</v>
      </c>
      <c r="R20" s="51">
        <v>17</v>
      </c>
      <c r="S20" s="121">
        <v>2224</v>
      </c>
      <c r="T20" s="31" t="s">
        <v>90</v>
      </c>
    </row>
    <row r="21" spans="1:20" ht="30.75" customHeight="1" x14ac:dyDescent="0.3">
      <c r="A21" s="58">
        <v>2234</v>
      </c>
      <c r="B21" s="55" t="s">
        <v>30</v>
      </c>
      <c r="C21" s="60">
        <f t="shared" si="4"/>
        <v>2.510340079708703</v>
      </c>
      <c r="D21" s="60">
        <f t="shared" si="4"/>
        <v>4.9151548726112937</v>
      </c>
      <c r="E21" s="60">
        <f t="shared" si="4"/>
        <v>1.7919936319092975</v>
      </c>
      <c r="F21" s="60">
        <f t="shared" si="4"/>
        <v>9.2174885842292937</v>
      </c>
      <c r="G21" s="60">
        <f t="shared" si="4"/>
        <v>5.627692589026875</v>
      </c>
      <c r="H21" s="60">
        <f t="shared" si="4"/>
        <v>11.596486793203784</v>
      </c>
      <c r="I21" s="60">
        <f t="shared" si="4"/>
        <v>3.8834596373845645</v>
      </c>
      <c r="J21" s="60">
        <f t="shared" si="4"/>
        <v>21.107639019615224</v>
      </c>
      <c r="K21" s="60"/>
      <c r="L21" s="60">
        <f t="shared" si="5"/>
        <v>8.9186616252615263</v>
      </c>
      <c r="M21" s="60"/>
      <c r="N21" s="60">
        <f t="shared" si="6"/>
        <v>8.9186616252615263</v>
      </c>
      <c r="O21" s="60">
        <f t="shared" si="6"/>
        <v>17.206107773480987</v>
      </c>
      <c r="R21" s="51">
        <f>2*30</f>
        <v>60</v>
      </c>
      <c r="S21" s="121">
        <v>2234</v>
      </c>
      <c r="T21" s="31" t="s">
        <v>91</v>
      </c>
    </row>
    <row r="22" spans="1:20" ht="24" customHeight="1" x14ac:dyDescent="0.3">
      <c r="A22" s="58">
        <v>2235</v>
      </c>
      <c r="B22" s="55" t="s">
        <v>31</v>
      </c>
      <c r="C22" s="60">
        <f t="shared" si="4"/>
        <v>1.6735600531391353</v>
      </c>
      <c r="D22" s="60">
        <f t="shared" si="4"/>
        <v>3.2767699150741958</v>
      </c>
      <c r="E22" s="60">
        <f t="shared" si="4"/>
        <v>1.1946624212728651</v>
      </c>
      <c r="F22" s="60">
        <f t="shared" si="4"/>
        <v>6.1449923894861955</v>
      </c>
      <c r="G22" s="60">
        <f t="shared" si="4"/>
        <v>3.7517950593512501</v>
      </c>
      <c r="H22" s="60">
        <f t="shared" si="4"/>
        <v>7.7309911954691897</v>
      </c>
      <c r="I22" s="60">
        <f t="shared" si="4"/>
        <v>2.5889730915897098</v>
      </c>
      <c r="J22" s="60">
        <f t="shared" si="4"/>
        <v>14.07175934641015</v>
      </c>
      <c r="K22" s="60"/>
      <c r="L22" s="60">
        <f t="shared" si="5"/>
        <v>5.9457744168410178</v>
      </c>
      <c r="M22" s="60"/>
      <c r="N22" s="60">
        <f t="shared" si="6"/>
        <v>5.9457744168410178</v>
      </c>
      <c r="O22" s="60">
        <f t="shared" si="6"/>
        <v>11.470738515653991</v>
      </c>
      <c r="R22" s="51">
        <f>2*20</f>
        <v>40</v>
      </c>
      <c r="S22" s="121">
        <v>2235</v>
      </c>
      <c r="T22" s="31" t="s">
        <v>92</v>
      </c>
    </row>
    <row r="23" spans="1:20" ht="32.25" customHeight="1" x14ac:dyDescent="0.3">
      <c r="A23" s="58">
        <v>2243</v>
      </c>
      <c r="B23" s="55" t="s">
        <v>32</v>
      </c>
      <c r="C23" s="60">
        <f t="shared" si="4"/>
        <v>0.62758501992717575</v>
      </c>
      <c r="D23" s="60">
        <f t="shared" si="4"/>
        <v>1.2287887181528234</v>
      </c>
      <c r="E23" s="60">
        <f t="shared" si="4"/>
        <v>0.44799840797732438</v>
      </c>
      <c r="F23" s="60">
        <f t="shared" si="4"/>
        <v>2.3043721460573234</v>
      </c>
      <c r="G23" s="60">
        <f t="shared" si="4"/>
        <v>1.4069231472567187</v>
      </c>
      <c r="H23" s="60">
        <f t="shared" si="4"/>
        <v>2.899121698300946</v>
      </c>
      <c r="I23" s="60">
        <f t="shared" si="4"/>
        <v>0.97086490934614111</v>
      </c>
      <c r="J23" s="60">
        <f t="shared" si="4"/>
        <v>5.276909754903806</v>
      </c>
      <c r="K23" s="60"/>
      <c r="L23" s="60">
        <f t="shared" si="5"/>
        <v>2.2296654063153816</v>
      </c>
      <c r="M23" s="60"/>
      <c r="N23" s="60">
        <f t="shared" si="6"/>
        <v>2.2296654063153816</v>
      </c>
      <c r="O23" s="60">
        <f t="shared" si="6"/>
        <v>4.3015269433702468</v>
      </c>
      <c r="R23" s="51">
        <v>15</v>
      </c>
      <c r="S23" s="121">
        <v>2243</v>
      </c>
      <c r="T23" s="31" t="s">
        <v>93</v>
      </c>
    </row>
    <row r="24" spans="1:20" ht="27.75" customHeight="1" x14ac:dyDescent="0.3">
      <c r="A24" s="58">
        <v>2244</v>
      </c>
      <c r="B24" s="55" t="s">
        <v>33</v>
      </c>
      <c r="C24" s="60">
        <f t="shared" si="4"/>
        <v>9.7066483082069846E-2</v>
      </c>
      <c r="D24" s="60">
        <f t="shared" si="4"/>
        <v>0.19005265507430336</v>
      </c>
      <c r="E24" s="60">
        <f t="shared" si="4"/>
        <v>6.9290420433826175E-2</v>
      </c>
      <c r="F24" s="60">
        <f t="shared" si="4"/>
        <v>0.35640955859019935</v>
      </c>
      <c r="G24" s="60">
        <f t="shared" si="4"/>
        <v>0.21760411344237252</v>
      </c>
      <c r="H24" s="60">
        <f t="shared" si="4"/>
        <v>0.44839748933721302</v>
      </c>
      <c r="I24" s="60">
        <f t="shared" si="4"/>
        <v>0.15016043931220319</v>
      </c>
      <c r="J24" s="60">
        <f t="shared" si="4"/>
        <v>0.81616204209178878</v>
      </c>
      <c r="K24" s="60"/>
      <c r="L24" s="60">
        <f t="shared" si="5"/>
        <v>0.34485491617677905</v>
      </c>
      <c r="M24" s="60"/>
      <c r="N24" s="60">
        <f t="shared" si="6"/>
        <v>0.34485491617677905</v>
      </c>
      <c r="O24" s="60">
        <f t="shared" si="6"/>
        <v>0.66530283390793155</v>
      </c>
      <c r="R24" s="51">
        <v>2.3199999999999998</v>
      </c>
      <c r="S24" s="121">
        <v>2244</v>
      </c>
      <c r="T24" s="31" t="s">
        <v>94</v>
      </c>
    </row>
    <row r="25" spans="1:20" ht="21" customHeight="1" x14ac:dyDescent="0.3">
      <c r="A25" s="58">
        <v>2247</v>
      </c>
      <c r="B25" s="55" t="s">
        <v>34</v>
      </c>
      <c r="C25" s="60">
        <f t="shared" si="4"/>
        <v>1.2551700398543517E-2</v>
      </c>
      <c r="D25" s="60">
        <f t="shared" si="4"/>
        <v>2.4575774363056468E-2</v>
      </c>
      <c r="E25" s="60">
        <f t="shared" si="4"/>
        <v>8.9599681595464893E-3</v>
      </c>
      <c r="F25" s="60">
        <f t="shared" si="4"/>
        <v>4.6087442921146471E-2</v>
      </c>
      <c r="G25" s="60">
        <f t="shared" si="4"/>
        <v>2.813846294513438E-2</v>
      </c>
      <c r="H25" s="60">
        <f t="shared" si="4"/>
        <v>5.7982433966018924E-2</v>
      </c>
      <c r="I25" s="60">
        <f t="shared" si="4"/>
        <v>1.9417298186922827E-2</v>
      </c>
      <c r="J25" s="60">
        <f t="shared" si="4"/>
        <v>0.10553819509807613</v>
      </c>
      <c r="K25" s="60"/>
      <c r="L25" s="60">
        <f t="shared" si="5"/>
        <v>4.4593308126307636E-2</v>
      </c>
      <c r="M25" s="60"/>
      <c r="N25" s="60">
        <f t="shared" si="6"/>
        <v>4.4593308126307636E-2</v>
      </c>
      <c r="O25" s="60">
        <f t="shared" si="6"/>
        <v>8.6030538867404943E-2</v>
      </c>
      <c r="R25" s="51">
        <v>0.3</v>
      </c>
      <c r="S25" s="121">
        <v>2247</v>
      </c>
      <c r="T25" s="31" t="s">
        <v>95</v>
      </c>
    </row>
    <row r="26" spans="1:20" ht="32.25" customHeight="1" x14ac:dyDescent="0.3">
      <c r="A26" s="58">
        <v>2251</v>
      </c>
      <c r="B26" s="55" t="s">
        <v>35</v>
      </c>
      <c r="C26" s="60">
        <f t="shared" ref="C26:J34" si="7">$R26/$Q$9*C$9</f>
        <v>0</v>
      </c>
      <c r="D26" s="60">
        <f t="shared" si="7"/>
        <v>0</v>
      </c>
      <c r="E26" s="60">
        <f t="shared" si="7"/>
        <v>0</v>
      </c>
      <c r="F26" s="60">
        <f t="shared" si="7"/>
        <v>0</v>
      </c>
      <c r="G26" s="60">
        <f t="shared" si="7"/>
        <v>0</v>
      </c>
      <c r="H26" s="60">
        <f t="shared" si="7"/>
        <v>0</v>
      </c>
      <c r="I26" s="60">
        <f t="shared" si="7"/>
        <v>0</v>
      </c>
      <c r="J26" s="60">
        <f t="shared" si="7"/>
        <v>0</v>
      </c>
      <c r="K26" s="60"/>
      <c r="L26" s="60">
        <f t="shared" si="5"/>
        <v>0</v>
      </c>
      <c r="M26" s="60"/>
      <c r="N26" s="60">
        <f t="shared" si="6"/>
        <v>0</v>
      </c>
      <c r="O26" s="60">
        <f t="shared" si="6"/>
        <v>0</v>
      </c>
      <c r="R26" s="51">
        <v>0</v>
      </c>
      <c r="S26" s="121">
        <v>2251</v>
      </c>
      <c r="T26" s="31" t="s">
        <v>96</v>
      </c>
    </row>
    <row r="27" spans="1:20" ht="22.5" customHeight="1" x14ac:dyDescent="0.3">
      <c r="A27" s="58">
        <v>2311</v>
      </c>
      <c r="B27" s="55" t="s">
        <v>36</v>
      </c>
      <c r="C27" s="60">
        <f t="shared" si="7"/>
        <v>0.12719056403857429</v>
      </c>
      <c r="D27" s="60">
        <f t="shared" si="7"/>
        <v>0.24903451354563888</v>
      </c>
      <c r="E27" s="60">
        <f t="shared" si="7"/>
        <v>9.0794344016737749E-2</v>
      </c>
      <c r="F27" s="60">
        <f t="shared" si="7"/>
        <v>0.46701942160095089</v>
      </c>
      <c r="G27" s="60">
        <f t="shared" si="7"/>
        <v>0.28513642451069504</v>
      </c>
      <c r="H27" s="60">
        <f t="shared" si="7"/>
        <v>0.58755533085565848</v>
      </c>
      <c r="I27" s="60">
        <f t="shared" si="7"/>
        <v>0.19676195496081794</v>
      </c>
      <c r="J27" s="60">
        <f t="shared" si="7"/>
        <v>1.0694537103271715</v>
      </c>
      <c r="K27" s="60"/>
      <c r="L27" s="60">
        <f t="shared" si="5"/>
        <v>0.45187885567991737</v>
      </c>
      <c r="M27" s="60"/>
      <c r="N27" s="60">
        <f t="shared" si="6"/>
        <v>0.45187885567991737</v>
      </c>
      <c r="O27" s="60">
        <f t="shared" si="6"/>
        <v>0.87177612718970332</v>
      </c>
      <c r="R27" s="51">
        <v>3.04</v>
      </c>
      <c r="S27" s="121">
        <v>2311</v>
      </c>
      <c r="T27" s="31" t="s">
        <v>97</v>
      </c>
    </row>
    <row r="28" spans="1:20" x14ac:dyDescent="0.3">
      <c r="A28" s="58">
        <v>2312</v>
      </c>
      <c r="B28" s="55" t="s">
        <v>37</v>
      </c>
      <c r="C28" s="60">
        <f t="shared" si="7"/>
        <v>0.44265663405530131</v>
      </c>
      <c r="D28" s="60">
        <f t="shared" si="7"/>
        <v>0.86670564253712479</v>
      </c>
      <c r="E28" s="60">
        <f t="shared" si="7"/>
        <v>0.31598821042667286</v>
      </c>
      <c r="F28" s="60">
        <f t="shared" si="7"/>
        <v>1.6253504870190989</v>
      </c>
      <c r="G28" s="60">
        <f t="shared" si="7"/>
        <v>0.99234979319840577</v>
      </c>
      <c r="H28" s="60">
        <f t="shared" si="7"/>
        <v>2.0448471712016008</v>
      </c>
      <c r="I28" s="60">
        <f t="shared" si="7"/>
        <v>0.68478338272547834</v>
      </c>
      <c r="J28" s="60">
        <f t="shared" si="7"/>
        <v>3.7219803471254851</v>
      </c>
      <c r="K28" s="60"/>
      <c r="L28" s="60">
        <f t="shared" si="5"/>
        <v>1.5726573332544493</v>
      </c>
      <c r="M28" s="60"/>
      <c r="N28" s="60">
        <f t="shared" si="6"/>
        <v>1.5726573332544493</v>
      </c>
      <c r="O28" s="60">
        <f t="shared" si="6"/>
        <v>3.0340103373904812</v>
      </c>
      <c r="R28" s="51">
        <v>10.58</v>
      </c>
      <c r="S28" s="121">
        <v>2312</v>
      </c>
      <c r="T28" s="31" t="s">
        <v>98</v>
      </c>
    </row>
    <row r="29" spans="1:20" ht="18.75" customHeight="1" x14ac:dyDescent="0.3">
      <c r="A29" s="58">
        <v>2321</v>
      </c>
      <c r="B29" s="55" t="s">
        <v>38</v>
      </c>
      <c r="C29" s="60">
        <f t="shared" si="7"/>
        <v>4.9621055575575355</v>
      </c>
      <c r="D29" s="60">
        <f t="shared" si="7"/>
        <v>9.715622798194989</v>
      </c>
      <c r="E29" s="60">
        <f t="shared" si="7"/>
        <v>3.5421740790740448</v>
      </c>
      <c r="F29" s="60">
        <f t="shared" si="7"/>
        <v>18.219902434826569</v>
      </c>
      <c r="G29" s="60">
        <f t="shared" si="7"/>
        <v>11.124072350976457</v>
      </c>
      <c r="H29" s="60">
        <f t="shared" si="7"/>
        <v>22.922388894566147</v>
      </c>
      <c r="I29" s="60">
        <f t="shared" si="7"/>
        <v>7.6763052165634891</v>
      </c>
      <c r="J29" s="60">
        <f t="shared" si="7"/>
        <v>41.722766462106094</v>
      </c>
      <c r="K29" s="60"/>
      <c r="L29" s="60">
        <f t="shared" si="5"/>
        <v>17.629221145933617</v>
      </c>
      <c r="M29" s="60"/>
      <c r="N29" s="60">
        <f t="shared" si="6"/>
        <v>17.629221145933617</v>
      </c>
      <c r="O29" s="60">
        <f t="shared" si="6"/>
        <v>34.01073969891408</v>
      </c>
      <c r="R29" s="51">
        <v>118.6</v>
      </c>
      <c r="S29" s="121">
        <v>2321</v>
      </c>
      <c r="T29" s="31" t="s">
        <v>99</v>
      </c>
    </row>
    <row r="30" spans="1:20" ht="18" customHeight="1" x14ac:dyDescent="0.3">
      <c r="A30" s="58">
        <v>2341</v>
      </c>
      <c r="B30" s="55" t="s">
        <v>39</v>
      </c>
      <c r="C30" s="60">
        <f t="shared" si="7"/>
        <v>1.6735600531391354E-3</v>
      </c>
      <c r="D30" s="60">
        <f t="shared" si="7"/>
        <v>3.2767699150741958E-3</v>
      </c>
      <c r="E30" s="60">
        <f t="shared" si="7"/>
        <v>1.1946624212728651E-3</v>
      </c>
      <c r="F30" s="60">
        <f t="shared" si="7"/>
        <v>6.1449923894861961E-3</v>
      </c>
      <c r="G30" s="60">
        <f t="shared" si="7"/>
        <v>3.7517950593512505E-3</v>
      </c>
      <c r="H30" s="60">
        <f t="shared" si="7"/>
        <v>7.7309911954691899E-3</v>
      </c>
      <c r="I30" s="60">
        <f t="shared" si="7"/>
        <v>2.5889730915897103E-3</v>
      </c>
      <c r="J30" s="60">
        <f t="shared" si="7"/>
        <v>1.4071759346410152E-2</v>
      </c>
      <c r="K30" s="60"/>
      <c r="L30" s="60">
        <f t="shared" si="5"/>
        <v>5.9457744168410183E-3</v>
      </c>
      <c r="M30" s="60"/>
      <c r="N30" s="60">
        <f t="shared" si="6"/>
        <v>5.9457744168410183E-3</v>
      </c>
      <c r="O30" s="60">
        <f t="shared" si="6"/>
        <v>1.1470738515653993E-2</v>
      </c>
      <c r="R30" s="51">
        <v>0.04</v>
      </c>
      <c r="S30" s="121" t="s">
        <v>104</v>
      </c>
      <c r="T30" s="31" t="s">
        <v>100</v>
      </c>
    </row>
    <row r="31" spans="1:20" ht="23.25" customHeight="1" x14ac:dyDescent="0.3">
      <c r="A31" s="58">
        <v>2351</v>
      </c>
      <c r="B31" s="55" t="s">
        <v>40</v>
      </c>
      <c r="C31" s="60">
        <f t="shared" si="7"/>
        <v>0.49453699570261456</v>
      </c>
      <c r="D31" s="60">
        <f t="shared" si="7"/>
        <v>0.96828550990442497</v>
      </c>
      <c r="E31" s="60">
        <f t="shared" si="7"/>
        <v>0.35302274548613166</v>
      </c>
      <c r="F31" s="60">
        <f t="shared" si="7"/>
        <v>1.8158452510931711</v>
      </c>
      <c r="G31" s="60">
        <f t="shared" si="7"/>
        <v>1.1086554400382946</v>
      </c>
      <c r="H31" s="60">
        <f t="shared" si="7"/>
        <v>2.284507898261146</v>
      </c>
      <c r="I31" s="60">
        <f t="shared" si="7"/>
        <v>0.76504154856475937</v>
      </c>
      <c r="J31" s="60">
        <f t="shared" si="7"/>
        <v>4.1582048868642003</v>
      </c>
      <c r="K31" s="60"/>
      <c r="L31" s="60">
        <f t="shared" si="5"/>
        <v>1.756976340176521</v>
      </c>
      <c r="M31" s="60"/>
      <c r="N31" s="60">
        <f t="shared" si="6"/>
        <v>1.756976340176521</v>
      </c>
      <c r="O31" s="60">
        <f t="shared" si="6"/>
        <v>3.3896032313757547</v>
      </c>
      <c r="R31" s="51">
        <v>11.82</v>
      </c>
      <c r="S31" s="121" t="s">
        <v>102</v>
      </c>
      <c r="T31" s="31" t="s">
        <v>97</v>
      </c>
    </row>
    <row r="32" spans="1:20" ht="20.25" customHeight="1" x14ac:dyDescent="0.3">
      <c r="A32" s="58">
        <v>2352</v>
      </c>
      <c r="B32" s="55" t="s">
        <v>41</v>
      </c>
      <c r="C32" s="60">
        <f t="shared" si="7"/>
        <v>9.0790632882798081E-2</v>
      </c>
      <c r="D32" s="60">
        <f t="shared" si="7"/>
        <v>0.17776476789277509</v>
      </c>
      <c r="E32" s="60">
        <f t="shared" si="7"/>
        <v>6.4810436354052925E-2</v>
      </c>
      <c r="F32" s="60">
        <f t="shared" si="7"/>
        <v>0.33336583712962609</v>
      </c>
      <c r="G32" s="60">
        <f t="shared" si="7"/>
        <v>0.20353488196980532</v>
      </c>
      <c r="H32" s="60">
        <f t="shared" si="7"/>
        <v>0.41940627235420352</v>
      </c>
      <c r="I32" s="60">
        <f t="shared" si="7"/>
        <v>0.14045179021874174</v>
      </c>
      <c r="J32" s="60">
        <f t="shared" si="7"/>
        <v>0.76339294454275064</v>
      </c>
      <c r="K32" s="60"/>
      <c r="L32" s="60">
        <f t="shared" si="5"/>
        <v>0.3225582621136252</v>
      </c>
      <c r="M32" s="60"/>
      <c r="N32" s="60">
        <f t="shared" si="6"/>
        <v>0.3225582621136252</v>
      </c>
      <c r="O32" s="60">
        <f t="shared" si="6"/>
        <v>0.62228756447422906</v>
      </c>
      <c r="R32" s="51">
        <v>2.17</v>
      </c>
      <c r="S32" s="121" t="s">
        <v>103</v>
      </c>
      <c r="T32" s="31" t="s">
        <v>98</v>
      </c>
    </row>
    <row r="33" spans="1:20" ht="16.5" customHeight="1" x14ac:dyDescent="0.3">
      <c r="A33" s="58">
        <v>2362</v>
      </c>
      <c r="B33" s="55" t="s">
        <v>42</v>
      </c>
      <c r="C33" s="60">
        <f t="shared" si="7"/>
        <v>0.86104664734008507</v>
      </c>
      <c r="D33" s="60">
        <f t="shared" si="7"/>
        <v>1.6858981213056734</v>
      </c>
      <c r="E33" s="60">
        <f t="shared" si="7"/>
        <v>0.61465381574488909</v>
      </c>
      <c r="F33" s="60">
        <f t="shared" si="7"/>
        <v>3.1615985843906476</v>
      </c>
      <c r="G33" s="60">
        <f t="shared" si="7"/>
        <v>1.930298558036218</v>
      </c>
      <c r="H33" s="60">
        <f t="shared" si="7"/>
        <v>3.9775949700688975</v>
      </c>
      <c r="I33" s="60">
        <f t="shared" si="7"/>
        <v>1.3320266556229057</v>
      </c>
      <c r="J33" s="60">
        <f t="shared" si="7"/>
        <v>7.2399201837280218</v>
      </c>
      <c r="K33" s="60"/>
      <c r="L33" s="60">
        <f t="shared" si="5"/>
        <v>3.0591009374647036</v>
      </c>
      <c r="M33" s="60"/>
      <c r="N33" s="60">
        <f t="shared" si="6"/>
        <v>3.0591009374647036</v>
      </c>
      <c r="O33" s="60">
        <f t="shared" si="6"/>
        <v>5.9016949663039782</v>
      </c>
      <c r="R33" s="51">
        <v>20.58</v>
      </c>
      <c r="S33" s="121">
        <v>2362</v>
      </c>
      <c r="T33" s="31" t="s">
        <v>101</v>
      </c>
    </row>
    <row r="34" spans="1:20" ht="32.25" customHeight="1" x14ac:dyDescent="0.3">
      <c r="A34" s="58" t="s">
        <v>13</v>
      </c>
      <c r="B34" s="55" t="s">
        <v>43</v>
      </c>
      <c r="C34" s="60">
        <f t="shared" si="7"/>
        <v>0</v>
      </c>
      <c r="D34" s="60">
        <f t="shared" si="7"/>
        <v>0</v>
      </c>
      <c r="E34" s="60">
        <f t="shared" si="7"/>
        <v>0</v>
      </c>
      <c r="F34" s="60">
        <f t="shared" si="7"/>
        <v>0</v>
      </c>
      <c r="G34" s="60">
        <f t="shared" si="7"/>
        <v>0</v>
      </c>
      <c r="H34" s="60">
        <f t="shared" si="7"/>
        <v>0</v>
      </c>
      <c r="I34" s="60">
        <f t="shared" si="7"/>
        <v>0</v>
      </c>
      <c r="J34" s="60">
        <f t="shared" si="7"/>
        <v>0</v>
      </c>
      <c r="K34" s="60"/>
      <c r="L34" s="60">
        <f t="shared" si="5"/>
        <v>0</v>
      </c>
      <c r="M34" s="60"/>
      <c r="N34" s="60">
        <f t="shared" si="6"/>
        <v>0</v>
      </c>
      <c r="O34" s="60">
        <f t="shared" si="6"/>
        <v>0</v>
      </c>
      <c r="R34" s="51">
        <v>0</v>
      </c>
      <c r="S34" s="51">
        <v>5239</v>
      </c>
      <c r="T34" s="31" t="s">
        <v>43</v>
      </c>
    </row>
    <row r="35" spans="1:20" ht="29.25" customHeight="1" x14ac:dyDescent="0.3">
      <c r="A35" s="56"/>
      <c r="B35" s="61" t="s">
        <v>44</v>
      </c>
      <c r="C35" s="60">
        <f>SUM(C16:C34)</f>
        <v>33.533867016904487</v>
      </c>
      <c r="D35" s="60">
        <f t="shared" ref="D35:O35" si="8">SUM(D16:D34)</f>
        <v>65.658095967922904</v>
      </c>
      <c r="E35" s="60">
        <f t="shared" si="8"/>
        <v>23.937982201423146</v>
      </c>
      <c r="F35" s="60">
        <f t="shared" si="8"/>
        <v>123.12994518625048</v>
      </c>
      <c r="G35" s="60">
        <f t="shared" si="8"/>
        <v>75.1763860274839</v>
      </c>
      <c r="H35" s="60">
        <f t="shared" si="8"/>
        <v>154.90930855540077</v>
      </c>
      <c r="I35" s="60">
        <f t="shared" si="8"/>
        <v>51.876405152516838</v>
      </c>
      <c r="J35" s="60">
        <f t="shared" si="8"/>
        <v>281.96209973540158</v>
      </c>
      <c r="K35" s="60"/>
      <c r="L35" s="60">
        <f t="shared" si="8"/>
        <v>119.13812607612668</v>
      </c>
      <c r="M35" s="60"/>
      <c r="N35" s="60">
        <f t="shared" si="8"/>
        <v>119.13812607612668</v>
      </c>
      <c r="O35" s="60">
        <f t="shared" si="8"/>
        <v>229.84428867557688</v>
      </c>
    </row>
    <row r="36" spans="1:20" ht="21.75" customHeight="1" x14ac:dyDescent="0.3">
      <c r="A36" s="55"/>
      <c r="B36" s="55" t="s">
        <v>45</v>
      </c>
      <c r="C36" s="60">
        <f>C14+C35</f>
        <v>250.37075637380264</v>
      </c>
      <c r="D36" s="60">
        <f t="shared" ref="D36:O36" si="9">D14+D35</f>
        <v>490.2168646779005</v>
      </c>
      <c r="E36" s="60">
        <f t="shared" si="9"/>
        <v>178.72590437636279</v>
      </c>
      <c r="F36" s="60">
        <f t="shared" si="9"/>
        <v>919.31352542806576</v>
      </c>
      <c r="G36" s="60">
        <f t="shared" si="9"/>
        <v>561.28237824948496</v>
      </c>
      <c r="H36" s="60">
        <f t="shared" si="9"/>
        <v>1156.5847962839177</v>
      </c>
      <c r="I36" s="60">
        <f t="shared" si="9"/>
        <v>387.31992315237704</v>
      </c>
      <c r="J36" s="60">
        <f t="shared" si="9"/>
        <v>2105.1870976857799</v>
      </c>
      <c r="K36" s="60"/>
      <c r="L36" s="60">
        <f t="shared" si="9"/>
        <v>889.50978196462063</v>
      </c>
      <c r="M36" s="60"/>
      <c r="N36" s="60">
        <f t="shared" si="9"/>
        <v>889.50978196462063</v>
      </c>
      <c r="O36" s="60">
        <f t="shared" si="9"/>
        <v>1716.0647883196307</v>
      </c>
    </row>
    <row r="37" spans="1:20" ht="41.25" customHeight="1" x14ac:dyDescent="0.3">
      <c r="A37" s="55"/>
      <c r="B37" s="55" t="s">
        <v>46</v>
      </c>
      <c r="C37" s="62">
        <v>137</v>
      </c>
      <c r="D37" s="62">
        <v>137</v>
      </c>
      <c r="E37" s="62">
        <v>137</v>
      </c>
      <c r="F37" s="62" t="s">
        <v>47</v>
      </c>
      <c r="G37" s="62">
        <v>255</v>
      </c>
      <c r="H37" s="62">
        <v>255</v>
      </c>
      <c r="I37" s="62">
        <v>255</v>
      </c>
      <c r="J37" s="62" t="s">
        <v>47</v>
      </c>
      <c r="K37" s="81"/>
      <c r="L37" s="81">
        <v>175</v>
      </c>
      <c r="M37" s="81"/>
      <c r="N37" s="81" t="s">
        <v>47</v>
      </c>
      <c r="O37" s="81">
        <v>291</v>
      </c>
    </row>
    <row r="38" spans="1:20" ht="65.25" customHeight="1" x14ac:dyDescent="0.3">
      <c r="A38" s="55"/>
      <c r="B38" s="55" t="s">
        <v>122</v>
      </c>
      <c r="C38" s="60">
        <f>C14/C37</f>
        <v>1.5827510172036361</v>
      </c>
      <c r="D38" s="60">
        <f t="shared" ref="D38:E38" si="10">D14/D37</f>
        <v>3.0989691146713692</v>
      </c>
      <c r="E38" s="60">
        <f t="shared" si="10"/>
        <v>1.1298388479922601</v>
      </c>
      <c r="F38" s="60">
        <f>SUM(C38:E38)</f>
        <v>5.8115589798672653</v>
      </c>
      <c r="G38" s="60">
        <f>G14/G37</f>
        <v>1.9062980087137296</v>
      </c>
      <c r="H38" s="60">
        <f t="shared" ref="H38:I38" si="11">H14/H37</f>
        <v>3.9281391675628119</v>
      </c>
      <c r="I38" s="60">
        <f t="shared" si="11"/>
        <v>1.31546477647004</v>
      </c>
      <c r="J38" s="60">
        <f>SUM(G38:I38)</f>
        <v>7.149901952746581</v>
      </c>
      <c r="K38" s="60"/>
      <c r="L38" s="63">
        <f>L14/L37</f>
        <v>4.402123747934251</v>
      </c>
      <c r="M38" s="60"/>
      <c r="N38" s="60">
        <f>SUM(K38:M38)</f>
        <v>4.402123747934251</v>
      </c>
      <c r="O38" s="63">
        <f>O14/O37</f>
        <v>5.1072869403575725</v>
      </c>
    </row>
    <row r="39" spans="1:20" ht="66.75" customHeight="1" x14ac:dyDescent="0.3">
      <c r="A39" s="55"/>
      <c r="B39" s="55" t="s">
        <v>125</v>
      </c>
      <c r="C39" s="59">
        <f>C9/C37</f>
        <v>0.56781021897810224</v>
      </c>
      <c r="D39" s="59">
        <f>D9/D37</f>
        <v>1.1117518248175182</v>
      </c>
      <c r="E39" s="59">
        <f>E9/E37</f>
        <v>0.40532846715328469</v>
      </c>
      <c r="F39" s="59">
        <f>SUM(C39:E39)</f>
        <v>2.0848905109489051</v>
      </c>
      <c r="G39" s="59">
        <f>G9/G37</f>
        <v>0.68388235294117639</v>
      </c>
      <c r="H39" s="59">
        <f>H9/H37</f>
        <v>1.40921568627451</v>
      </c>
      <c r="I39" s="59">
        <f>I9/I37</f>
        <v>0.47192156862745099</v>
      </c>
      <c r="J39" s="59">
        <f>G39+H39+I39</f>
        <v>2.5650196078431371</v>
      </c>
      <c r="K39" s="59"/>
      <c r="L39" s="59">
        <f>L9/L37</f>
        <v>1.5792571428571429</v>
      </c>
      <c r="M39" s="59"/>
      <c r="N39" s="59">
        <f>SUM(K39:M39)</f>
        <v>1.5792571428571429</v>
      </c>
      <c r="O39" s="59">
        <f>O9/O37</f>
        <v>1.8322336769759449</v>
      </c>
    </row>
  </sheetData>
  <mergeCells count="5">
    <mergeCell ref="A6:B6"/>
    <mergeCell ref="C6:F6"/>
    <mergeCell ref="G6:J6"/>
    <mergeCell ref="K6:N6"/>
    <mergeCell ref="I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2C54-85D9-40A0-A0D2-01B5F17482D7}">
  <sheetPr>
    <pageSetUpPr fitToPage="1"/>
  </sheetPr>
  <dimension ref="A1:W39"/>
  <sheetViews>
    <sheetView topLeftCell="A31" zoomScale="106" zoomScaleNormal="106" workbookViewId="0">
      <selection activeCell="K1" sqref="K1:R1"/>
    </sheetView>
  </sheetViews>
  <sheetFormatPr defaultColWidth="9.109375" defaultRowHeight="15.6" x14ac:dyDescent="0.3"/>
  <cols>
    <col min="1" max="1" width="11.109375" style="65" customWidth="1"/>
    <col min="2" max="2" width="36.44140625" style="65" customWidth="1"/>
    <col min="3" max="5" width="10.44140625" style="71" customWidth="1"/>
    <col min="6" max="6" width="11" style="71" customWidth="1"/>
    <col min="7" max="7" width="12.33203125" style="71" customWidth="1"/>
    <col min="8" max="8" width="11.88671875" style="71" customWidth="1"/>
    <col min="9" max="9" width="10.6640625" style="71" customWidth="1"/>
    <col min="10" max="11" width="10.44140625" style="71" customWidth="1"/>
    <col min="12" max="12" width="10.44140625" style="71" bestFit="1" customWidth="1"/>
    <col min="13" max="13" width="10" style="71" customWidth="1"/>
    <col min="14" max="14" width="9.109375" style="70"/>
    <col min="15" max="15" width="9.88671875" style="70" customWidth="1"/>
    <col min="16" max="16" width="10.6640625" style="70" customWidth="1"/>
    <col min="17" max="18" width="9.109375" style="70"/>
    <col min="19" max="19" width="9.109375" style="68" hidden="1" customWidth="1"/>
    <col min="20" max="20" width="10.88671875" style="68" hidden="1" customWidth="1"/>
    <col min="21" max="21" width="12.44140625" style="68" hidden="1" customWidth="1"/>
    <col min="22" max="22" width="33.88671875" style="68" hidden="1" customWidth="1"/>
    <col min="23" max="23" width="9.109375" style="68" customWidth="1"/>
    <col min="24" max="16384" width="9.109375" style="70"/>
  </cols>
  <sheetData>
    <row r="1" spans="1:21" ht="54" customHeight="1" x14ac:dyDescent="0.3">
      <c r="A1" s="66"/>
      <c r="B1" s="97"/>
      <c r="C1" s="97"/>
      <c r="D1" s="97"/>
      <c r="E1" s="97"/>
      <c r="F1" s="97"/>
      <c r="G1" s="97"/>
      <c r="H1" s="97"/>
      <c r="I1" s="97"/>
      <c r="J1" s="97"/>
      <c r="K1" s="14" t="s">
        <v>131</v>
      </c>
      <c r="L1" s="14"/>
      <c r="M1" s="14"/>
      <c r="N1" s="14"/>
      <c r="O1" s="14"/>
      <c r="P1" s="14"/>
      <c r="Q1" s="14"/>
      <c r="R1" s="14"/>
    </row>
    <row r="2" spans="1:21" x14ac:dyDescent="0.3">
      <c r="F2" s="66"/>
      <c r="G2" s="66"/>
      <c r="H2" s="66"/>
      <c r="I2" s="66"/>
      <c r="J2" s="66"/>
      <c r="K2" s="66"/>
      <c r="L2" s="66"/>
    </row>
    <row r="3" spans="1:21" x14ac:dyDescent="0.3">
      <c r="A3" s="64" t="s">
        <v>14</v>
      </c>
    </row>
    <row r="4" spans="1:21" x14ac:dyDescent="0.3">
      <c r="A4" s="16" t="s">
        <v>126</v>
      </c>
      <c r="B4" s="16"/>
      <c r="C4" s="65"/>
      <c r="L4" s="16"/>
    </row>
    <row r="5" spans="1:21" ht="19.5" customHeight="1" x14ac:dyDescent="0.3">
      <c r="A5" s="16"/>
      <c r="B5" s="98"/>
      <c r="D5" s="99"/>
      <c r="E5" s="99"/>
      <c r="F5" s="99"/>
      <c r="K5" s="16"/>
    </row>
    <row r="6" spans="1:21" ht="32.25" customHeight="1" x14ac:dyDescent="0.3">
      <c r="A6" s="9" t="s">
        <v>114</v>
      </c>
      <c r="B6" s="8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K6" s="11" t="s">
        <v>49</v>
      </c>
      <c r="L6" s="11"/>
      <c r="M6" s="11"/>
      <c r="N6" s="11"/>
      <c r="O6" s="10" t="s">
        <v>53</v>
      </c>
      <c r="P6" s="10"/>
      <c r="Q6" s="10"/>
      <c r="R6" s="10"/>
      <c r="T6" s="100" t="s">
        <v>79</v>
      </c>
      <c r="U6" s="100" t="s">
        <v>80</v>
      </c>
    </row>
    <row r="7" spans="1:21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  <c r="O7" s="57" t="s">
        <v>1</v>
      </c>
      <c r="P7" s="57" t="s">
        <v>2</v>
      </c>
      <c r="Q7" s="57" t="s">
        <v>3</v>
      </c>
      <c r="R7" s="57" t="s">
        <v>4</v>
      </c>
    </row>
    <row r="8" spans="1:21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21" x14ac:dyDescent="0.3">
      <c r="A9" s="58">
        <v>2363</v>
      </c>
      <c r="B9" s="55" t="s">
        <v>18</v>
      </c>
      <c r="C9" s="59">
        <v>157.01</v>
      </c>
      <c r="D9" s="59">
        <v>284.72000000000003</v>
      </c>
      <c r="E9" s="59">
        <v>110.24</v>
      </c>
      <c r="F9" s="59">
        <f>C9+D9+E9</f>
        <v>551.97</v>
      </c>
      <c r="G9" s="59">
        <v>843.81</v>
      </c>
      <c r="H9" s="59">
        <v>1350.92</v>
      </c>
      <c r="I9" s="59">
        <v>572.86</v>
      </c>
      <c r="J9" s="59">
        <f>SUM(G9:I9)</f>
        <v>2767.59</v>
      </c>
      <c r="K9" s="59">
        <v>8.69</v>
      </c>
      <c r="L9" s="59">
        <v>14.3</v>
      </c>
      <c r="M9" s="59">
        <v>6.17</v>
      </c>
      <c r="N9" s="59">
        <f>SUM(K9:M9)</f>
        <v>29.160000000000004</v>
      </c>
      <c r="O9" s="59">
        <v>7.91</v>
      </c>
      <c r="P9" s="59">
        <v>11.69</v>
      </c>
      <c r="Q9" s="59">
        <v>4.9400000000000004</v>
      </c>
      <c r="R9" s="59">
        <f>SUM(O9:Q9)</f>
        <v>24.540000000000003</v>
      </c>
      <c r="T9" s="101">
        <v>3751.01</v>
      </c>
    </row>
    <row r="10" spans="1:21" x14ac:dyDescent="0.3">
      <c r="A10" s="58">
        <v>1100</v>
      </c>
      <c r="B10" s="55" t="s">
        <v>19</v>
      </c>
      <c r="C10" s="60">
        <f>U10/T9*C9</f>
        <v>68.772791861391994</v>
      </c>
      <c r="D10" s="60">
        <f>U10/T9*D9</f>
        <v>124.71173363973971</v>
      </c>
      <c r="E10" s="60">
        <f>U10/T9*E9</f>
        <v>48.286813418252677</v>
      </c>
      <c r="F10" s="60">
        <f>SUM(C10:E10)</f>
        <v>241.77133891938439</v>
      </c>
      <c r="G10" s="60">
        <f>U10/T9*G9</f>
        <v>369.60174193083992</v>
      </c>
      <c r="H10" s="60">
        <f>U10/T9*H9</f>
        <v>591.72371174696946</v>
      </c>
      <c r="I10" s="60">
        <f>U10/T9*I9</f>
        <v>250.92147981476987</v>
      </c>
      <c r="J10" s="60">
        <f>SUM(G10:I10)</f>
        <v>1212.2469334925793</v>
      </c>
      <c r="K10" s="59">
        <f>U10/T9*K9</f>
        <v>3.8063534887936843</v>
      </c>
      <c r="L10" s="59">
        <f>U10/T9*L9</f>
        <v>6.2636196651035316</v>
      </c>
      <c r="M10" s="59">
        <f>U10/T9*M9</f>
        <v>2.7025547785796356</v>
      </c>
      <c r="N10" s="59">
        <f>SUM(K10:M10)</f>
        <v>12.772527932476851</v>
      </c>
      <c r="O10" s="59">
        <f>U10/T9*O9</f>
        <v>3.4647015070607647</v>
      </c>
      <c r="P10" s="59">
        <f>U10/T9*P9</f>
        <v>5.1203995723818378</v>
      </c>
      <c r="Q10" s="59">
        <f>U10/T9*Q9</f>
        <v>2.163795884308493</v>
      </c>
      <c r="R10" s="59">
        <f>SUM(O10:Q10)</f>
        <v>10.748896963751095</v>
      </c>
      <c r="U10" s="68">
        <v>1643</v>
      </c>
    </row>
    <row r="11" spans="1:21" ht="62.4" x14ac:dyDescent="0.3">
      <c r="A11" s="58">
        <v>1200</v>
      </c>
      <c r="B11" s="55" t="s">
        <v>20</v>
      </c>
      <c r="C11" s="60">
        <f>U11/T9*C9</f>
        <v>16.22350160010237</v>
      </c>
      <c r="D11" s="60">
        <f>U11/T9*D9</f>
        <v>29.419497965614596</v>
      </c>
      <c r="E11" s="60">
        <f>U11/T9*E9</f>
        <v>11.390859285365806</v>
      </c>
      <c r="F11" s="60">
        <f>SUM(C11:E11)</f>
        <v>57.033858851082769</v>
      </c>
      <c r="G11" s="60">
        <f>U11/T9*G9</f>
        <v>87.189050921485133</v>
      </c>
      <c r="H11" s="60">
        <f>U11/T9*H9</f>
        <v>139.5876236011101</v>
      </c>
      <c r="I11" s="60">
        <f>U11/T9*I9</f>
        <v>59.192377088304212</v>
      </c>
      <c r="J11" s="60">
        <f>SUM(G11:I11)</f>
        <v>285.96905161089944</v>
      </c>
      <c r="K11" s="59">
        <f>U11/T9*K9</f>
        <v>0.89791878800643021</v>
      </c>
      <c r="L11" s="59">
        <f>U11/T9*L9</f>
        <v>1.4775878789979233</v>
      </c>
      <c r="M11" s="59">
        <f>U11/T9*M9</f>
        <v>0.63753267226693611</v>
      </c>
      <c r="N11" s="59">
        <f>SUM(K11:M11)</f>
        <v>3.0130393392712898</v>
      </c>
      <c r="O11" s="59">
        <f>U11/T9*O9</f>
        <v>0.81732308551563448</v>
      </c>
      <c r="P11" s="59">
        <f>U11/T9*P9</f>
        <v>1.2079022591248756</v>
      </c>
      <c r="Q11" s="59">
        <f>U11/T9*Q9</f>
        <v>0.51043944910837347</v>
      </c>
      <c r="R11" s="59">
        <f>SUM(O11:Q11)</f>
        <v>2.5356647937488836</v>
      </c>
      <c r="U11" s="68">
        <f>U10*0.2359</f>
        <v>387.58370000000002</v>
      </c>
    </row>
    <row r="12" spans="1:21" x14ac:dyDescent="0.3">
      <c r="A12" s="58">
        <v>2222</v>
      </c>
      <c r="B12" s="55" t="s">
        <v>21</v>
      </c>
      <c r="C12" s="60">
        <f>U12/T9*C9</f>
        <v>24.378133889272487</v>
      </c>
      <c r="D12" s="60">
        <f>U12/T9*D9</f>
        <v>44.207007712589416</v>
      </c>
      <c r="E12" s="60">
        <f>U12/T9*E9</f>
        <v>17.116396917096996</v>
      </c>
      <c r="F12" s="60">
        <f t="shared" ref="F12:F13" si="0">SUM(C12:E12)</f>
        <v>85.701538518958898</v>
      </c>
      <c r="G12" s="60">
        <f>U12/T9*G9</f>
        <v>131.01403195406036</v>
      </c>
      <c r="H12" s="60">
        <f>U12/T9*H9</f>
        <v>209.75038936179857</v>
      </c>
      <c r="I12" s="60">
        <f>U12/T9*I9</f>
        <v>88.945021207621409</v>
      </c>
      <c r="J12" s="60">
        <f t="shared" ref="J12:J13" si="1">SUM(G12:I12)</f>
        <v>429.70944252348033</v>
      </c>
      <c r="K12" s="59">
        <f>U12/T9*K9</f>
        <v>1.3492515349199281</v>
      </c>
      <c r="L12" s="59">
        <f>U12/T9*L9</f>
        <v>2.2202873359441857</v>
      </c>
      <c r="M12" s="59">
        <f>U12/T9*M9</f>
        <v>0.95798411627801572</v>
      </c>
      <c r="N12" s="59">
        <f t="shared" ref="N12:N13" si="2">SUM(K12:M12)</f>
        <v>4.5275229871421292</v>
      </c>
      <c r="O12" s="59">
        <f>U12/T9*O9</f>
        <v>1.2281449529593362</v>
      </c>
      <c r="P12" s="59">
        <f>U12/T9*P9</f>
        <v>1.8150460809222049</v>
      </c>
      <c r="Q12" s="59">
        <f>U12/T9*Q9</f>
        <v>0.76700835241708243</v>
      </c>
      <c r="R12" s="59">
        <f t="shared" ref="R12:R13" si="3">SUM(O12:Q12)</f>
        <v>3.8101993862986236</v>
      </c>
      <c r="U12" s="68">
        <f>4480*0.13</f>
        <v>582.4</v>
      </c>
    </row>
    <row r="13" spans="1:21" x14ac:dyDescent="0.3">
      <c r="A13" s="58">
        <v>2223</v>
      </c>
      <c r="B13" s="55" t="s">
        <v>22</v>
      </c>
      <c r="C13" s="60">
        <f>U13/T9*C9</f>
        <v>27.697478012588608</v>
      </c>
      <c r="D13" s="60">
        <f>U13/T9*D9</f>
        <v>50.226265459169667</v>
      </c>
      <c r="E13" s="60">
        <f>U13/T9*E9</f>
        <v>19.44697774732672</v>
      </c>
      <c r="F13" s="60">
        <f t="shared" si="0"/>
        <v>97.370721219084999</v>
      </c>
      <c r="G13" s="60">
        <f>U13/T9*G9</f>
        <v>148.85299612637664</v>
      </c>
      <c r="H13" s="60">
        <f>U13/T9*H9</f>
        <v>238.31015219900775</v>
      </c>
      <c r="I13" s="60">
        <f>U13/T9*I9</f>
        <v>101.05583882740916</v>
      </c>
      <c r="J13" s="60">
        <f t="shared" si="1"/>
        <v>488.21898715279355</v>
      </c>
      <c r="K13" s="59">
        <f>U13/T9*K9</f>
        <v>1.5329665876657219</v>
      </c>
      <c r="L13" s="59">
        <f>U13/T9*L9</f>
        <v>2.5226032455258718</v>
      </c>
      <c r="M13" s="59">
        <f>U13/T9*M9</f>
        <v>1.0884239178247992</v>
      </c>
      <c r="N13" s="59">
        <f t="shared" si="2"/>
        <v>5.1439937510163931</v>
      </c>
      <c r="O13" s="59">
        <f>U13/T9*O9</f>
        <v>1.3953700470006745</v>
      </c>
      <c r="P13" s="59">
        <f>U13/T9*P9</f>
        <v>2.0621840517620589</v>
      </c>
      <c r="Q13" s="59">
        <f>U13/T9*Q9</f>
        <v>0.87144475754530126</v>
      </c>
      <c r="R13" s="59">
        <f t="shared" si="3"/>
        <v>4.3289988563080346</v>
      </c>
      <c r="U13" s="68">
        <f>5090*0.13</f>
        <v>661.7</v>
      </c>
    </row>
    <row r="14" spans="1:21" x14ac:dyDescent="0.3">
      <c r="A14" s="56"/>
      <c r="B14" s="61" t="s">
        <v>23</v>
      </c>
      <c r="C14" s="60">
        <f>SUM(C9:C13)</f>
        <v>294.08190536335542</v>
      </c>
      <c r="D14" s="60">
        <f t="shared" ref="D14:R14" si="4">SUM(D9:D13)</f>
        <v>533.2845047771134</v>
      </c>
      <c r="E14" s="60">
        <f t="shared" si="4"/>
        <v>206.48104736804223</v>
      </c>
      <c r="F14" s="60">
        <f t="shared" si="4"/>
        <v>1033.8474575085111</v>
      </c>
      <c r="G14" s="60">
        <f t="shared" si="4"/>
        <v>1580.4678209327622</v>
      </c>
      <c r="H14" s="60">
        <f t="shared" si="4"/>
        <v>2530.291876908886</v>
      </c>
      <c r="I14" s="60">
        <f t="shared" si="4"/>
        <v>1072.9747169381046</v>
      </c>
      <c r="J14" s="60">
        <f t="shared" si="4"/>
        <v>5183.7344147797521</v>
      </c>
      <c r="K14" s="60">
        <f t="shared" si="4"/>
        <v>16.276490399385764</v>
      </c>
      <c r="L14" s="60">
        <f t="shared" si="4"/>
        <v>26.784098125571511</v>
      </c>
      <c r="M14" s="60">
        <f t="shared" si="4"/>
        <v>11.556495484949387</v>
      </c>
      <c r="N14" s="60">
        <f t="shared" si="4"/>
        <v>54.617084009906669</v>
      </c>
      <c r="O14" s="60">
        <f t="shared" si="4"/>
        <v>14.81553959253641</v>
      </c>
      <c r="P14" s="60">
        <f t="shared" si="4"/>
        <v>21.895531964190976</v>
      </c>
      <c r="Q14" s="60">
        <f t="shared" si="4"/>
        <v>9.2526884433792507</v>
      </c>
      <c r="R14" s="60">
        <f t="shared" si="4"/>
        <v>45.963760000106639</v>
      </c>
      <c r="U14" s="68">
        <f>SUM(U10:U13)</f>
        <v>3274.6837000000005</v>
      </c>
    </row>
    <row r="15" spans="1:21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  <c r="O15" s="59"/>
      <c r="P15" s="59"/>
      <c r="Q15" s="59"/>
      <c r="R15" s="59"/>
    </row>
    <row r="16" spans="1:21" ht="31.2" x14ac:dyDescent="0.3">
      <c r="A16" s="58">
        <v>1100</v>
      </c>
      <c r="B16" s="55" t="s">
        <v>25</v>
      </c>
      <c r="C16" s="60">
        <f>U16/T9*C9</f>
        <v>47.517269215491289</v>
      </c>
      <c r="D16" s="60">
        <f>U16/T9*D9</f>
        <v>86.167230692533479</v>
      </c>
      <c r="E16" s="60">
        <f>U16/T9*E9</f>
        <v>33.362867067803066</v>
      </c>
      <c r="F16" s="60">
        <f>SUM(C16:E16)</f>
        <v>167.04736697582786</v>
      </c>
      <c r="G16" s="60">
        <f t="shared" ref="G16:R25" si="5">$U16/$T$9*G$9</f>
        <v>255.36938371265336</v>
      </c>
      <c r="H16" s="60">
        <f t="shared" si="5"/>
        <v>408.84038805548369</v>
      </c>
      <c r="I16" s="60">
        <f t="shared" si="5"/>
        <v>173.36948501870162</v>
      </c>
      <c r="J16" s="60">
        <f t="shared" si="5"/>
        <v>837.57925678683876</v>
      </c>
      <c r="K16" s="60">
        <f t="shared" si="5"/>
        <v>2.6299284725980465</v>
      </c>
      <c r="L16" s="60">
        <f t="shared" si="5"/>
        <v>4.3277303979461532</v>
      </c>
      <c r="M16" s="60">
        <f t="shared" si="5"/>
        <v>1.8672794793935499</v>
      </c>
      <c r="N16" s="60">
        <f t="shared" si="5"/>
        <v>8.8249383499377512</v>
      </c>
      <c r="O16" s="60">
        <f t="shared" si="5"/>
        <v>2.3938704508918929</v>
      </c>
      <c r="P16" s="60">
        <f t="shared" si="5"/>
        <v>3.5378439406986382</v>
      </c>
      <c r="Q16" s="60">
        <f t="shared" si="5"/>
        <v>1.4950341374723075</v>
      </c>
      <c r="R16" s="60">
        <f t="shared" si="5"/>
        <v>7.4267485290628388</v>
      </c>
      <c r="S16" s="88"/>
      <c r="T16" s="88"/>
      <c r="U16" s="68">
        <v>1135.2</v>
      </c>
    </row>
    <row r="17" spans="1:22" ht="62.4" x14ac:dyDescent="0.3">
      <c r="A17" s="58">
        <v>1200</v>
      </c>
      <c r="B17" s="55" t="s">
        <v>26</v>
      </c>
      <c r="C17" s="60">
        <f>U17/T9*C9</f>
        <v>11.209323807934394</v>
      </c>
      <c r="D17" s="60">
        <f>U17/T9*D9</f>
        <v>20.326849720368649</v>
      </c>
      <c r="E17" s="60">
        <f>U17/T9*E9</f>
        <v>7.8703003412947439</v>
      </c>
      <c r="F17" s="60">
        <f t="shared" ref="F17:F34" si="6">SUM(C17:E17)</f>
        <v>39.406473869597789</v>
      </c>
      <c r="G17" s="60">
        <f t="shared" si="5"/>
        <v>60.241637617814931</v>
      </c>
      <c r="H17" s="60">
        <f t="shared" si="5"/>
        <v>96.445447542288619</v>
      </c>
      <c r="I17" s="60">
        <f t="shared" si="5"/>
        <v>40.897861515911714</v>
      </c>
      <c r="J17" s="60">
        <f t="shared" si="5"/>
        <v>197.58494667601525</v>
      </c>
      <c r="K17" s="60">
        <f t="shared" si="5"/>
        <v>0.62040012668587918</v>
      </c>
      <c r="L17" s="60">
        <f t="shared" si="5"/>
        <v>1.0209116008754975</v>
      </c>
      <c r="M17" s="60">
        <f t="shared" si="5"/>
        <v>0.4404912291889384</v>
      </c>
      <c r="N17" s="60">
        <f t="shared" si="5"/>
        <v>2.0818029567503156</v>
      </c>
      <c r="O17" s="60">
        <f t="shared" si="5"/>
        <v>0.56471403936539755</v>
      </c>
      <c r="P17" s="60">
        <f t="shared" si="5"/>
        <v>0.83457738561080874</v>
      </c>
      <c r="Q17" s="60">
        <f t="shared" si="5"/>
        <v>0.35267855302971735</v>
      </c>
      <c r="R17" s="60">
        <f t="shared" si="5"/>
        <v>1.7519699780059239</v>
      </c>
      <c r="S17" s="88"/>
      <c r="T17" s="88"/>
      <c r="U17" s="68">
        <f>U16*0.2359</f>
        <v>267.79367999999999</v>
      </c>
    </row>
    <row r="18" spans="1:22" x14ac:dyDescent="0.3">
      <c r="A18" s="58">
        <v>2210</v>
      </c>
      <c r="B18" s="55" t="s">
        <v>27</v>
      </c>
      <c r="C18" s="60">
        <f>U18/T9*C9</f>
        <v>0.32565570339721828</v>
      </c>
      <c r="D18" s="60">
        <f>U18/T9*D9</f>
        <v>0.59054004121556591</v>
      </c>
      <c r="E18" s="60">
        <f>U18/T9*E9</f>
        <v>0.22864967035545089</v>
      </c>
      <c r="F18" s="60">
        <f t="shared" si="6"/>
        <v>1.144845414968235</v>
      </c>
      <c r="G18" s="60">
        <f t="shared" si="5"/>
        <v>1.7501531054302704</v>
      </c>
      <c r="H18" s="60">
        <f t="shared" si="5"/>
        <v>2.8019540337135864</v>
      </c>
      <c r="I18" s="60">
        <f t="shared" si="5"/>
        <v>1.1881735319287337</v>
      </c>
      <c r="J18" s="60">
        <f t="shared" si="5"/>
        <v>5.7402806710725907</v>
      </c>
      <c r="K18" s="60">
        <f t="shared" si="5"/>
        <v>1.8023998869637774E-2</v>
      </c>
      <c r="L18" s="60">
        <f t="shared" si="5"/>
        <v>2.9659744975353303E-2</v>
      </c>
      <c r="M18" s="60">
        <f t="shared" si="5"/>
        <v>1.2797246608246843E-2</v>
      </c>
      <c r="N18" s="60">
        <f t="shared" si="5"/>
        <v>6.0480990453237925E-2</v>
      </c>
      <c r="O18" s="60">
        <f t="shared" si="5"/>
        <v>1.6406194598254868E-2</v>
      </c>
      <c r="P18" s="60">
        <f t="shared" si="5"/>
        <v>2.4246322990341265E-2</v>
      </c>
      <c r="Q18" s="60">
        <f t="shared" si="5"/>
        <v>1.0246093718758413E-2</v>
      </c>
      <c r="R18" s="60">
        <f t="shared" si="5"/>
        <v>5.0898611307354555E-2</v>
      </c>
      <c r="S18" s="88"/>
      <c r="T18" s="88"/>
      <c r="U18" s="51">
        <v>7.78</v>
      </c>
      <c r="V18" s="51" t="s">
        <v>108</v>
      </c>
    </row>
    <row r="19" spans="1:22" x14ac:dyDescent="0.3">
      <c r="A19" s="58">
        <v>2221</v>
      </c>
      <c r="B19" s="55" t="s">
        <v>28</v>
      </c>
      <c r="C19" s="60">
        <f>U19/T9*C9</f>
        <v>3.6039789283419661</v>
      </c>
      <c r="D19" s="60">
        <f>U19/T9*D9</f>
        <v>6.535410995971751</v>
      </c>
      <c r="E19" s="60">
        <f>U19/T9*E9</f>
        <v>2.5304288711573677</v>
      </c>
      <c r="F19" s="60">
        <f t="shared" si="6"/>
        <v>12.669818795471084</v>
      </c>
      <c r="G19" s="60">
        <f t="shared" si="5"/>
        <v>19.368660973977672</v>
      </c>
      <c r="H19" s="60">
        <f t="shared" si="5"/>
        <v>31.008771504208198</v>
      </c>
      <c r="I19" s="60">
        <f t="shared" si="5"/>
        <v>13.149324048722876</v>
      </c>
      <c r="J19" s="60">
        <f t="shared" si="5"/>
        <v>63.526756526908748</v>
      </c>
      <c r="K19" s="60">
        <f t="shared" si="5"/>
        <v>0.19946867643647975</v>
      </c>
      <c r="L19" s="60">
        <f t="shared" si="5"/>
        <v>0.32823959413597936</v>
      </c>
      <c r="M19" s="60">
        <f t="shared" si="5"/>
        <v>0.14162505565167779</v>
      </c>
      <c r="N19" s="60">
        <f t="shared" si="5"/>
        <v>0.66933332622413699</v>
      </c>
      <c r="O19" s="60">
        <f t="shared" si="5"/>
        <v>0.18156469857451724</v>
      </c>
      <c r="P19" s="60">
        <f t="shared" si="5"/>
        <v>0.26833012975172016</v>
      </c>
      <c r="Q19" s="60">
        <f t="shared" si="5"/>
        <v>0.11339185979242923</v>
      </c>
      <c r="R19" s="60">
        <f t="shared" si="5"/>
        <v>0.56328668811866667</v>
      </c>
      <c r="S19" s="88"/>
      <c r="T19" s="88"/>
      <c r="U19" s="51">
        <v>86.1</v>
      </c>
      <c r="V19" s="51" t="s">
        <v>89</v>
      </c>
    </row>
    <row r="20" spans="1:22" x14ac:dyDescent="0.3">
      <c r="A20" s="58">
        <v>2224</v>
      </c>
      <c r="B20" s="55" t="s">
        <v>29</v>
      </c>
      <c r="C20" s="60">
        <f>U20/T9*C9</f>
        <v>0.92087731037773823</v>
      </c>
      <c r="D20" s="60">
        <f>U20/T9*D9</f>
        <v>1.6699075715607266</v>
      </c>
      <c r="E20" s="60">
        <f>U20/T9*E9</f>
        <v>0.64656719123649364</v>
      </c>
      <c r="F20" s="60">
        <f t="shared" si="6"/>
        <v>3.2373520731749581</v>
      </c>
      <c r="G20" s="60">
        <f t="shared" si="5"/>
        <v>4.9490190641987093</v>
      </c>
      <c r="H20" s="60">
        <f t="shared" si="5"/>
        <v>7.9232633344085999</v>
      </c>
      <c r="I20" s="60">
        <f t="shared" si="5"/>
        <v>3.3598737406725125</v>
      </c>
      <c r="J20" s="60">
        <f t="shared" si="5"/>
        <v>16.232156139279823</v>
      </c>
      <c r="K20" s="60">
        <f t="shared" si="5"/>
        <v>5.0967606058101682E-2</v>
      </c>
      <c r="L20" s="60">
        <f t="shared" si="5"/>
        <v>8.3870744146243278E-2</v>
      </c>
      <c r="M20" s="60">
        <f t="shared" si="5"/>
        <v>3.6187586809952522E-2</v>
      </c>
      <c r="N20" s="60">
        <f t="shared" si="5"/>
        <v>0.1710259370142975</v>
      </c>
      <c r="O20" s="60">
        <f t="shared" si="5"/>
        <v>4.6392838195579322E-2</v>
      </c>
      <c r="P20" s="60">
        <f t="shared" si="5"/>
        <v>6.8562867067803068E-2</v>
      </c>
      <c r="Q20" s="60">
        <f t="shared" si="5"/>
        <v>2.8973529795974954E-2</v>
      </c>
      <c r="R20" s="60">
        <f t="shared" si="5"/>
        <v>0.14392923505935737</v>
      </c>
      <c r="S20" s="88"/>
      <c r="T20" s="88"/>
      <c r="U20" s="51">
        <v>22</v>
      </c>
      <c r="V20" s="51" t="s">
        <v>90</v>
      </c>
    </row>
    <row r="21" spans="1:22" ht="31.2" x14ac:dyDescent="0.3">
      <c r="A21" s="58">
        <v>2234</v>
      </c>
      <c r="B21" s="55" t="s">
        <v>30</v>
      </c>
      <c r="C21" s="60">
        <f>U21/T9*C9</f>
        <v>3.7672253606362016</v>
      </c>
      <c r="D21" s="60">
        <f>U21/T9*D9</f>
        <v>6.8314400654756993</v>
      </c>
      <c r="E21" s="60">
        <f>U21/T9*E9</f>
        <v>2.6450476005129282</v>
      </c>
      <c r="F21" s="60">
        <f t="shared" si="6"/>
        <v>13.243713026624828</v>
      </c>
      <c r="G21" s="60">
        <f t="shared" si="5"/>
        <v>20.245987080812899</v>
      </c>
      <c r="H21" s="60">
        <f t="shared" si="5"/>
        <v>32.413350004398815</v>
      </c>
      <c r="I21" s="60">
        <f t="shared" si="5"/>
        <v>13.744938030023913</v>
      </c>
      <c r="J21" s="60">
        <f t="shared" si="5"/>
        <v>66.404275115235635</v>
      </c>
      <c r="K21" s="60">
        <f t="shared" si="5"/>
        <v>0.20850384296496141</v>
      </c>
      <c r="L21" s="60">
        <f t="shared" si="5"/>
        <v>0.34310758968917704</v>
      </c>
      <c r="M21" s="60">
        <f t="shared" si="5"/>
        <v>0.14804012785889667</v>
      </c>
      <c r="N21" s="60">
        <f t="shared" si="5"/>
        <v>0.69965156051303523</v>
      </c>
      <c r="O21" s="60">
        <f t="shared" si="5"/>
        <v>0.18978888352736997</v>
      </c>
      <c r="P21" s="60">
        <f t="shared" si="5"/>
        <v>0.28048445618646711</v>
      </c>
      <c r="Q21" s="60">
        <f t="shared" si="5"/>
        <v>0.11852807643807935</v>
      </c>
      <c r="R21" s="60">
        <f t="shared" si="5"/>
        <v>0.5888014161519165</v>
      </c>
      <c r="S21" s="88"/>
      <c r="T21" s="88"/>
      <c r="U21" s="51">
        <f>3*30</f>
        <v>90</v>
      </c>
      <c r="V21" s="51" t="s">
        <v>91</v>
      </c>
    </row>
    <row r="22" spans="1:22" x14ac:dyDescent="0.3">
      <c r="A22" s="58">
        <v>2235</v>
      </c>
      <c r="B22" s="55" t="s">
        <v>31</v>
      </c>
      <c r="C22" s="60">
        <f>U22/T9*C9</f>
        <v>2.5114835737574674</v>
      </c>
      <c r="D22" s="60">
        <f>U22/T9*D9</f>
        <v>4.5542933769837983</v>
      </c>
      <c r="E22" s="60">
        <f>U22/T9*E9</f>
        <v>1.7633650670086187</v>
      </c>
      <c r="F22" s="60">
        <f t="shared" si="6"/>
        <v>8.8291420177498843</v>
      </c>
      <c r="G22" s="60">
        <f t="shared" si="5"/>
        <v>13.497324720541931</v>
      </c>
      <c r="H22" s="60">
        <f t="shared" si="5"/>
        <v>21.60890000293254</v>
      </c>
      <c r="I22" s="60">
        <f t="shared" si="5"/>
        <v>9.1632920200159411</v>
      </c>
      <c r="J22" s="60">
        <f t="shared" si="5"/>
        <v>44.269516743490414</v>
      </c>
      <c r="K22" s="60">
        <f t="shared" si="5"/>
        <v>0.13900256197664093</v>
      </c>
      <c r="L22" s="60">
        <f t="shared" si="5"/>
        <v>0.22873839312611802</v>
      </c>
      <c r="M22" s="60">
        <f t="shared" si="5"/>
        <v>9.8693418572597766E-2</v>
      </c>
      <c r="N22" s="60">
        <f t="shared" si="5"/>
        <v>0.46643437367535678</v>
      </c>
      <c r="O22" s="60">
        <f t="shared" si="5"/>
        <v>0.12652592235157994</v>
      </c>
      <c r="P22" s="60">
        <f t="shared" si="5"/>
        <v>0.18698963745764471</v>
      </c>
      <c r="Q22" s="60">
        <f t="shared" si="5"/>
        <v>7.9018717625386217E-2</v>
      </c>
      <c r="R22" s="60">
        <f t="shared" si="5"/>
        <v>0.39253427743461095</v>
      </c>
      <c r="S22" s="88"/>
      <c r="T22" s="88"/>
      <c r="U22" s="51">
        <f>3*20</f>
        <v>60</v>
      </c>
      <c r="V22" s="51" t="s">
        <v>92</v>
      </c>
    </row>
    <row r="23" spans="1:22" x14ac:dyDescent="0.3">
      <c r="A23" s="58">
        <v>2243</v>
      </c>
      <c r="B23" s="55" t="s">
        <v>32</v>
      </c>
      <c r="C23" s="60">
        <f>U23/T9*C9</f>
        <v>2.3859093950695942</v>
      </c>
      <c r="D23" s="60">
        <f>U23/T9*D9</f>
        <v>4.3265787081346092</v>
      </c>
      <c r="E23" s="60">
        <f>U23/T9*E9</f>
        <v>1.6751968136581878</v>
      </c>
      <c r="F23" s="60">
        <f t="shared" si="6"/>
        <v>8.3876849168623906</v>
      </c>
      <c r="G23" s="60">
        <f t="shared" si="5"/>
        <v>12.822458484514835</v>
      </c>
      <c r="H23" s="60">
        <f t="shared" si="5"/>
        <v>20.528455002785915</v>
      </c>
      <c r="I23" s="60">
        <f t="shared" si="5"/>
        <v>8.7051274190151453</v>
      </c>
      <c r="J23" s="60">
        <f t="shared" si="5"/>
        <v>42.0560409063159</v>
      </c>
      <c r="K23" s="60">
        <f t="shared" si="5"/>
        <v>0.13205243387780888</v>
      </c>
      <c r="L23" s="60">
        <f t="shared" si="5"/>
        <v>0.21730147346981213</v>
      </c>
      <c r="M23" s="60">
        <f t="shared" si="5"/>
        <v>9.3758747643967882E-2</v>
      </c>
      <c r="N23" s="60">
        <f t="shared" si="5"/>
        <v>0.44311265499158892</v>
      </c>
      <c r="O23" s="60">
        <f t="shared" si="5"/>
        <v>0.12019962623400096</v>
      </c>
      <c r="P23" s="60">
        <f t="shared" si="5"/>
        <v>0.17764015558476248</v>
      </c>
      <c r="Q23" s="60">
        <f t="shared" si="5"/>
        <v>7.5067781744116921E-2</v>
      </c>
      <c r="R23" s="60">
        <f t="shared" si="5"/>
        <v>0.37290756356288041</v>
      </c>
      <c r="S23" s="88"/>
      <c r="T23" s="88"/>
      <c r="U23" s="51">
        <v>57</v>
      </c>
      <c r="V23" s="51" t="s">
        <v>93</v>
      </c>
    </row>
    <row r="24" spans="1:22" x14ac:dyDescent="0.3">
      <c r="A24" s="58">
        <v>2244</v>
      </c>
      <c r="B24" s="55" t="s">
        <v>33</v>
      </c>
      <c r="C24" s="60">
        <f>U24/T9*C9</f>
        <v>0.40309311358807359</v>
      </c>
      <c r="D24" s="60">
        <f>U24/T9*D9</f>
        <v>0.73096408700589977</v>
      </c>
      <c r="E24" s="60">
        <f>U24/T9*E9</f>
        <v>0.28302009325488331</v>
      </c>
      <c r="F24" s="60">
        <f t="shared" si="6"/>
        <v>1.4170772938488567</v>
      </c>
      <c r="G24" s="60">
        <f t="shared" si="5"/>
        <v>2.16632061764698</v>
      </c>
      <c r="H24" s="60">
        <f t="shared" si="5"/>
        <v>3.4682284504706735</v>
      </c>
      <c r="I24" s="60">
        <f t="shared" si="5"/>
        <v>1.4707083692125587</v>
      </c>
      <c r="J24" s="60">
        <f t="shared" si="5"/>
        <v>7.1052574373302129</v>
      </c>
      <c r="K24" s="60">
        <f t="shared" si="5"/>
        <v>2.230991119725087E-2</v>
      </c>
      <c r="L24" s="60">
        <f t="shared" si="5"/>
        <v>3.6712512096741944E-2</v>
      </c>
      <c r="M24" s="60">
        <f t="shared" si="5"/>
        <v>1.5840293680901944E-2</v>
      </c>
      <c r="N24" s="60">
        <f t="shared" si="5"/>
        <v>7.4862716974894772E-2</v>
      </c>
      <c r="O24" s="60">
        <f t="shared" si="5"/>
        <v>2.0307410537428586E-2</v>
      </c>
      <c r="P24" s="60">
        <f t="shared" si="5"/>
        <v>3.0011836811951978E-2</v>
      </c>
      <c r="Q24" s="60">
        <f t="shared" si="5"/>
        <v>1.2682504178874491E-2</v>
      </c>
      <c r="R24" s="60">
        <f t="shared" si="5"/>
        <v>6.3001751528255059E-2</v>
      </c>
      <c r="S24" s="88"/>
      <c r="T24" s="88"/>
      <c r="U24" s="51">
        <v>9.6300000000000008</v>
      </c>
      <c r="V24" s="51" t="s">
        <v>94</v>
      </c>
    </row>
    <row r="25" spans="1:22" x14ac:dyDescent="0.3">
      <c r="A25" s="58">
        <v>2247</v>
      </c>
      <c r="B25" s="55" t="s">
        <v>34</v>
      </c>
      <c r="C25" s="60">
        <f>U25/T9*C9</f>
        <v>1.5068901442544805E-2</v>
      </c>
      <c r="D25" s="60">
        <f>U25/T9*D9</f>
        <v>2.7325760261902796E-2</v>
      </c>
      <c r="E25" s="60">
        <f>U25/T9*E9</f>
        <v>1.0580190402051713E-2</v>
      </c>
      <c r="F25" s="60">
        <f t="shared" si="6"/>
        <v>5.2974852106499312E-2</v>
      </c>
      <c r="G25" s="60">
        <f t="shared" si="5"/>
        <v>8.0983948323251592E-2</v>
      </c>
      <c r="H25" s="60">
        <f t="shared" si="5"/>
        <v>0.12965340001759526</v>
      </c>
      <c r="I25" s="60">
        <f t="shared" si="5"/>
        <v>5.4979752120095648E-2</v>
      </c>
      <c r="J25" s="60">
        <f t="shared" si="5"/>
        <v>0.2656171004609425</v>
      </c>
      <c r="K25" s="60">
        <f t="shared" si="5"/>
        <v>8.3401537185984567E-4</v>
      </c>
      <c r="L25" s="60">
        <f t="shared" si="5"/>
        <v>1.3724303587567082E-3</v>
      </c>
      <c r="M25" s="60">
        <f t="shared" si="5"/>
        <v>5.9216051143558658E-4</v>
      </c>
      <c r="N25" s="60">
        <f t="shared" si="5"/>
        <v>2.7986062420521408E-3</v>
      </c>
      <c r="O25" s="60">
        <f t="shared" si="5"/>
        <v>7.5915553410947981E-4</v>
      </c>
      <c r="P25" s="60">
        <f t="shared" si="5"/>
        <v>1.1219378247458683E-3</v>
      </c>
      <c r="Q25" s="60">
        <f t="shared" si="5"/>
        <v>4.7411230575231735E-4</v>
      </c>
      <c r="R25" s="60">
        <f t="shared" si="5"/>
        <v>2.3552056646076657E-3</v>
      </c>
      <c r="S25" s="88"/>
      <c r="T25" s="88"/>
      <c r="U25" s="51">
        <v>0.36</v>
      </c>
      <c r="V25" s="51" t="s">
        <v>95</v>
      </c>
    </row>
    <row r="26" spans="1:22" x14ac:dyDescent="0.3">
      <c r="A26" s="58">
        <v>2251</v>
      </c>
      <c r="B26" s="55" t="s">
        <v>35</v>
      </c>
      <c r="C26" s="60">
        <v>0</v>
      </c>
      <c r="D26" s="60">
        <f>0</f>
        <v>0</v>
      </c>
      <c r="E26" s="60">
        <v>0</v>
      </c>
      <c r="F26" s="60">
        <f t="shared" si="6"/>
        <v>0</v>
      </c>
      <c r="G26" s="60">
        <f t="shared" ref="G26:R34" si="7">$U26/$T$9*G$9</f>
        <v>0</v>
      </c>
      <c r="H26" s="60">
        <f t="shared" si="7"/>
        <v>0</v>
      </c>
      <c r="I26" s="60">
        <f t="shared" si="7"/>
        <v>0</v>
      </c>
      <c r="J26" s="60">
        <f t="shared" si="7"/>
        <v>0</v>
      </c>
      <c r="K26" s="60">
        <f t="shared" si="7"/>
        <v>0</v>
      </c>
      <c r="L26" s="60">
        <f t="shared" si="7"/>
        <v>0</v>
      </c>
      <c r="M26" s="60">
        <f t="shared" si="7"/>
        <v>0</v>
      </c>
      <c r="N26" s="60">
        <f t="shared" si="7"/>
        <v>0</v>
      </c>
      <c r="O26" s="60">
        <f t="shared" si="7"/>
        <v>0</v>
      </c>
      <c r="P26" s="60">
        <f t="shared" si="7"/>
        <v>0</v>
      </c>
      <c r="Q26" s="60">
        <f t="shared" si="7"/>
        <v>0</v>
      </c>
      <c r="R26" s="60">
        <f t="shared" si="7"/>
        <v>0</v>
      </c>
      <c r="S26" s="88"/>
      <c r="T26" s="88"/>
      <c r="U26" s="51">
        <v>0</v>
      </c>
      <c r="V26" s="51" t="s">
        <v>96</v>
      </c>
    </row>
    <row r="27" spans="1:22" x14ac:dyDescent="0.3">
      <c r="A27" s="58">
        <v>2311</v>
      </c>
      <c r="B27" s="55" t="s">
        <v>36</v>
      </c>
      <c r="C27" s="60">
        <f>U27/T9*C9</f>
        <v>0.12975998464413582</v>
      </c>
      <c r="D27" s="60">
        <f>U27/T9*D9</f>
        <v>0.23530515781082964</v>
      </c>
      <c r="E27" s="60">
        <f>U27/T9*E9</f>
        <v>9.1107195128778642E-2</v>
      </c>
      <c r="F27" s="60">
        <f t="shared" si="6"/>
        <v>0.45617233758374409</v>
      </c>
      <c r="G27" s="60">
        <f t="shared" si="7"/>
        <v>0.69736177722799986</v>
      </c>
      <c r="H27" s="60">
        <f t="shared" si="7"/>
        <v>1.1164598334848481</v>
      </c>
      <c r="I27" s="60">
        <f t="shared" si="7"/>
        <v>0.47343675436749033</v>
      </c>
      <c r="J27" s="60">
        <f t="shared" si="7"/>
        <v>2.2872583650803384</v>
      </c>
      <c r="K27" s="60">
        <f t="shared" si="7"/>
        <v>7.1817990354597818E-3</v>
      </c>
      <c r="L27" s="60">
        <f t="shared" si="7"/>
        <v>1.1818150311516099E-2</v>
      </c>
      <c r="M27" s="60">
        <f t="shared" si="7"/>
        <v>5.0991599595842183E-3</v>
      </c>
      <c r="N27" s="60">
        <f t="shared" si="7"/>
        <v>2.4099109306560101E-2</v>
      </c>
      <c r="O27" s="60">
        <f t="shared" si="7"/>
        <v>6.5371726548316316E-3</v>
      </c>
      <c r="P27" s="60">
        <f t="shared" si="7"/>
        <v>9.6611312686449777E-3</v>
      </c>
      <c r="Q27" s="60">
        <f t="shared" si="7"/>
        <v>4.0826337439782883E-3</v>
      </c>
      <c r="R27" s="60">
        <f t="shared" si="7"/>
        <v>2.0280937667454899E-2</v>
      </c>
      <c r="S27" s="88"/>
      <c r="T27" s="88"/>
      <c r="U27" s="51">
        <v>3.1</v>
      </c>
      <c r="V27" s="51" t="s">
        <v>97</v>
      </c>
    </row>
    <row r="28" spans="1:22" x14ac:dyDescent="0.3">
      <c r="A28" s="58">
        <v>2312</v>
      </c>
      <c r="B28" s="55" t="s">
        <v>37</v>
      </c>
      <c r="C28" s="60">
        <f>U28/T9*C9</f>
        <v>0.26789158120079654</v>
      </c>
      <c r="D28" s="60">
        <f>U28/T9*D9</f>
        <v>0.48579129354493861</v>
      </c>
      <c r="E28" s="60">
        <f>U28/T9*E9</f>
        <v>0.18809227381425267</v>
      </c>
      <c r="F28" s="60">
        <f t="shared" si="6"/>
        <v>0.94177514855998778</v>
      </c>
      <c r="G28" s="60">
        <f t="shared" si="7"/>
        <v>1.4397146368578062</v>
      </c>
      <c r="H28" s="60">
        <f t="shared" si="7"/>
        <v>2.304949333646138</v>
      </c>
      <c r="I28" s="60">
        <f t="shared" si="7"/>
        <v>0.97741781546836715</v>
      </c>
      <c r="J28" s="60">
        <f t="shared" si="7"/>
        <v>4.7220817859723114</v>
      </c>
      <c r="K28" s="60">
        <f t="shared" si="7"/>
        <v>1.4826939944175034E-2</v>
      </c>
      <c r="L28" s="60">
        <f t="shared" si="7"/>
        <v>2.4398761933452591E-2</v>
      </c>
      <c r="M28" s="60">
        <f t="shared" si="7"/>
        <v>1.0527297981077096E-2</v>
      </c>
      <c r="N28" s="60">
        <f t="shared" si="7"/>
        <v>4.9752999858704725E-2</v>
      </c>
      <c r="O28" s="60">
        <f t="shared" si="7"/>
        <v>1.349609838416853E-2</v>
      </c>
      <c r="P28" s="60">
        <f t="shared" si="7"/>
        <v>1.9945561328815437E-2</v>
      </c>
      <c r="Q28" s="60">
        <f t="shared" si="7"/>
        <v>8.428663213374531E-3</v>
      </c>
      <c r="R28" s="60">
        <f t="shared" si="7"/>
        <v>4.1870322926358505E-2</v>
      </c>
      <c r="S28" s="88"/>
      <c r="T28" s="88"/>
      <c r="U28" s="51">
        <v>6.4</v>
      </c>
      <c r="V28" s="51" t="s">
        <v>98</v>
      </c>
    </row>
    <row r="29" spans="1:22" x14ac:dyDescent="0.3">
      <c r="A29" s="58">
        <v>2321</v>
      </c>
      <c r="B29" s="55" t="s">
        <v>38</v>
      </c>
      <c r="C29" s="60">
        <v>0</v>
      </c>
      <c r="D29" s="60">
        <v>0</v>
      </c>
      <c r="E29" s="60">
        <v>0</v>
      </c>
      <c r="F29" s="60">
        <f t="shared" si="6"/>
        <v>0</v>
      </c>
      <c r="G29" s="60">
        <f t="shared" si="7"/>
        <v>0</v>
      </c>
      <c r="H29" s="60">
        <f t="shared" si="7"/>
        <v>0</v>
      </c>
      <c r="I29" s="60">
        <f t="shared" si="7"/>
        <v>0</v>
      </c>
      <c r="J29" s="60">
        <f t="shared" si="7"/>
        <v>0</v>
      </c>
      <c r="K29" s="60">
        <f t="shared" si="7"/>
        <v>0</v>
      </c>
      <c r="L29" s="60">
        <f t="shared" si="7"/>
        <v>0</v>
      </c>
      <c r="M29" s="60">
        <f t="shared" si="7"/>
        <v>0</v>
      </c>
      <c r="N29" s="60">
        <f t="shared" si="7"/>
        <v>0</v>
      </c>
      <c r="O29" s="60">
        <f t="shared" si="7"/>
        <v>0</v>
      </c>
      <c r="P29" s="60">
        <f t="shared" si="7"/>
        <v>0</v>
      </c>
      <c r="Q29" s="60">
        <f t="shared" si="7"/>
        <v>0</v>
      </c>
      <c r="R29" s="60">
        <f t="shared" si="7"/>
        <v>0</v>
      </c>
      <c r="S29" s="88"/>
      <c r="T29" s="88"/>
      <c r="U29" s="51">
        <v>0</v>
      </c>
      <c r="V29" s="51" t="s">
        <v>99</v>
      </c>
    </row>
    <row r="30" spans="1:22" x14ac:dyDescent="0.3">
      <c r="A30" s="58" t="s">
        <v>104</v>
      </c>
      <c r="B30" s="55" t="s">
        <v>39</v>
      </c>
      <c r="C30" s="60">
        <f>U30/T9*C9</f>
        <v>3.3486447650099569E-3</v>
      </c>
      <c r="D30" s="60">
        <f>U30/T9*D9</f>
        <v>6.0723911693117321E-3</v>
      </c>
      <c r="E30" s="60">
        <f>U30/T9*E9</f>
        <v>2.3511534226781585E-3</v>
      </c>
      <c r="F30" s="60">
        <f t="shared" si="6"/>
        <v>1.1772189356999847E-2</v>
      </c>
      <c r="G30" s="60">
        <f t="shared" si="7"/>
        <v>1.7996432960722578E-2</v>
      </c>
      <c r="H30" s="60">
        <f t="shared" si="7"/>
        <v>2.8811866670576725E-2</v>
      </c>
      <c r="I30" s="60">
        <f t="shared" si="7"/>
        <v>1.2217722693354589E-2</v>
      </c>
      <c r="J30" s="60">
        <f t="shared" si="7"/>
        <v>5.9026022324653891E-2</v>
      </c>
      <c r="K30" s="60">
        <f t="shared" si="7"/>
        <v>1.8533674930218793E-4</v>
      </c>
      <c r="L30" s="60">
        <f t="shared" si="7"/>
        <v>3.049845241681574E-4</v>
      </c>
      <c r="M30" s="60">
        <f t="shared" si="7"/>
        <v>1.3159122476346369E-4</v>
      </c>
      <c r="N30" s="60">
        <f t="shared" si="7"/>
        <v>6.219124982338091E-4</v>
      </c>
      <c r="O30" s="60">
        <f t="shared" si="7"/>
        <v>1.6870122980210662E-4</v>
      </c>
      <c r="P30" s="60">
        <f t="shared" si="7"/>
        <v>2.4931951661019295E-4</v>
      </c>
      <c r="Q30" s="60">
        <f t="shared" si="7"/>
        <v>1.0535829016718164E-4</v>
      </c>
      <c r="R30" s="60">
        <f t="shared" si="7"/>
        <v>5.2337903657948134E-4</v>
      </c>
      <c r="S30" s="88"/>
      <c r="T30" s="88"/>
      <c r="U30" s="51">
        <v>0.08</v>
      </c>
      <c r="V30" s="51" t="s">
        <v>100</v>
      </c>
    </row>
    <row r="31" spans="1:22" x14ac:dyDescent="0.3">
      <c r="A31" s="58" t="s">
        <v>102</v>
      </c>
      <c r="B31" s="55" t="s">
        <v>40</v>
      </c>
      <c r="C31" s="60">
        <f>U31/T9*C9</f>
        <v>0.66554314704572903</v>
      </c>
      <c r="D31" s="60">
        <f>U31/T9*D9</f>
        <v>1.2068877449007069</v>
      </c>
      <c r="E31" s="60">
        <f>U31/T9*E9</f>
        <v>0.46729174275728402</v>
      </c>
      <c r="F31" s="60">
        <f t="shared" si="6"/>
        <v>2.3397226347037199</v>
      </c>
      <c r="G31" s="60">
        <f t="shared" si="7"/>
        <v>3.5767910509436125</v>
      </c>
      <c r="H31" s="60">
        <f t="shared" si="7"/>
        <v>5.7263585007771249</v>
      </c>
      <c r="I31" s="60">
        <f t="shared" si="7"/>
        <v>2.4282723853042247</v>
      </c>
      <c r="J31" s="60">
        <f t="shared" si="7"/>
        <v>11.731421937024962</v>
      </c>
      <c r="K31" s="60">
        <f t="shared" si="7"/>
        <v>3.6835678923809852E-2</v>
      </c>
      <c r="L31" s="60">
        <f t="shared" si="7"/>
        <v>6.0615674178421286E-2</v>
      </c>
      <c r="M31" s="60">
        <f t="shared" si="7"/>
        <v>2.6153755921738412E-2</v>
      </c>
      <c r="N31" s="60">
        <f t="shared" si="7"/>
        <v>0.12360510902396957</v>
      </c>
      <c r="O31" s="60">
        <f t="shared" si="7"/>
        <v>3.3529369423168698E-2</v>
      </c>
      <c r="P31" s="60">
        <f t="shared" si="7"/>
        <v>4.9552253926275859E-2</v>
      </c>
      <c r="Q31" s="60">
        <f t="shared" si="7"/>
        <v>2.0939960170727353E-2</v>
      </c>
      <c r="R31" s="60">
        <f t="shared" si="7"/>
        <v>0.10402158352017192</v>
      </c>
      <c r="S31" s="88"/>
      <c r="T31" s="88"/>
      <c r="U31" s="51">
        <v>15.9</v>
      </c>
      <c r="V31" s="51" t="s">
        <v>97</v>
      </c>
    </row>
    <row r="32" spans="1:22" x14ac:dyDescent="0.3">
      <c r="A32" s="58" t="s">
        <v>103</v>
      </c>
      <c r="B32" s="55" t="s">
        <v>41</v>
      </c>
      <c r="C32" s="60">
        <f>U32/T9*C9</f>
        <v>0.45332278506322288</v>
      </c>
      <c r="D32" s="60">
        <f>U32/T9*D9</f>
        <v>0.82204995454557572</v>
      </c>
      <c r="E32" s="60">
        <f>U32/T9*E9</f>
        <v>0.31828739459505567</v>
      </c>
      <c r="F32" s="60">
        <f t="shared" si="6"/>
        <v>1.5936601342038543</v>
      </c>
      <c r="G32" s="60">
        <f t="shared" si="7"/>
        <v>2.4362671120578185</v>
      </c>
      <c r="H32" s="60">
        <f t="shared" si="7"/>
        <v>3.9004064505293239</v>
      </c>
      <c r="I32" s="60">
        <f t="shared" si="7"/>
        <v>1.6539742096128776</v>
      </c>
      <c r="J32" s="60">
        <f t="shared" si="7"/>
        <v>7.9906477722000204</v>
      </c>
      <c r="K32" s="60">
        <f t="shared" si="7"/>
        <v>2.5089962436783689E-2</v>
      </c>
      <c r="L32" s="60">
        <f t="shared" si="7"/>
        <v>4.1287279959264303E-2</v>
      </c>
      <c r="M32" s="60">
        <f t="shared" si="7"/>
        <v>1.7814162052353897E-2</v>
      </c>
      <c r="N32" s="60">
        <f t="shared" si="7"/>
        <v>8.4191404448401896E-2</v>
      </c>
      <c r="O32" s="60">
        <f t="shared" si="7"/>
        <v>2.2837928984460184E-2</v>
      </c>
      <c r="P32" s="60">
        <f t="shared" si="7"/>
        <v>3.3751629561104869E-2</v>
      </c>
      <c r="Q32" s="60">
        <f t="shared" si="7"/>
        <v>1.4262878531382214E-2</v>
      </c>
      <c r="R32" s="60">
        <f t="shared" si="7"/>
        <v>7.0852437076947272E-2</v>
      </c>
      <c r="S32" s="88"/>
      <c r="T32" s="88"/>
      <c r="U32" s="51">
        <v>10.83</v>
      </c>
      <c r="V32" s="51" t="s">
        <v>98</v>
      </c>
    </row>
    <row r="33" spans="1:22" x14ac:dyDescent="0.3">
      <c r="A33" s="58">
        <v>2362</v>
      </c>
      <c r="B33" s="55" t="s">
        <v>42</v>
      </c>
      <c r="C33" s="60">
        <f>U33/T9*C9</f>
        <v>1.5625613634727711</v>
      </c>
      <c r="D33" s="60">
        <f>U33/T9*D9</f>
        <v>2.8335295293800868</v>
      </c>
      <c r="E33" s="60">
        <f>U33/T9*E9</f>
        <v>1.0971069658571957</v>
      </c>
      <c r="F33" s="60">
        <f t="shared" si="6"/>
        <v>5.4931978587100527</v>
      </c>
      <c r="G33" s="60">
        <f t="shared" si="7"/>
        <v>8.3975855302971727</v>
      </c>
      <c r="H33" s="60">
        <f t="shared" si="7"/>
        <v>13.444337285157863</v>
      </c>
      <c r="I33" s="60">
        <f t="shared" si="7"/>
        <v>5.7010948517865847</v>
      </c>
      <c r="J33" s="60">
        <f t="shared" si="7"/>
        <v>27.543017667241621</v>
      </c>
      <c r="K33" s="60">
        <f t="shared" si="7"/>
        <v>8.6482760643133441E-2</v>
      </c>
      <c r="L33" s="60">
        <f t="shared" si="7"/>
        <v>0.14231340358996644</v>
      </c>
      <c r="M33" s="60">
        <f t="shared" si="7"/>
        <v>6.1403755255251248E-2</v>
      </c>
      <c r="N33" s="60">
        <f t="shared" si="7"/>
        <v>0.29019991948835117</v>
      </c>
      <c r="O33" s="60">
        <f t="shared" si="7"/>
        <v>7.8720211356407999E-2</v>
      </c>
      <c r="P33" s="60">
        <f t="shared" si="7"/>
        <v>0.11633871943823129</v>
      </c>
      <c r="Q33" s="60">
        <f t="shared" si="7"/>
        <v>4.9162812149261131E-2</v>
      </c>
      <c r="R33" s="60">
        <f t="shared" si="7"/>
        <v>0.24422174294390045</v>
      </c>
      <c r="S33" s="88"/>
      <c r="T33" s="88"/>
      <c r="U33" s="51">
        <v>37.33</v>
      </c>
      <c r="V33" s="51" t="s">
        <v>101</v>
      </c>
    </row>
    <row r="34" spans="1:22" x14ac:dyDescent="0.3">
      <c r="A34" s="58" t="s">
        <v>13</v>
      </c>
      <c r="B34" s="55" t="s">
        <v>43</v>
      </c>
      <c r="C34" s="60">
        <v>0</v>
      </c>
      <c r="D34" s="60">
        <v>0</v>
      </c>
      <c r="E34" s="60">
        <v>0</v>
      </c>
      <c r="F34" s="60">
        <f t="shared" si="6"/>
        <v>0</v>
      </c>
      <c r="G34" s="60">
        <f t="shared" si="7"/>
        <v>9.2659134206520353</v>
      </c>
      <c r="H34" s="60">
        <f t="shared" si="7"/>
        <v>14.83450985201319</v>
      </c>
      <c r="I34" s="60">
        <f t="shared" si="7"/>
        <v>6.290599971740944</v>
      </c>
      <c r="J34" s="60">
        <f t="shared" si="7"/>
        <v>30.391023244406171</v>
      </c>
      <c r="K34" s="60">
        <f t="shared" si="7"/>
        <v>9.5425258796963994E-2</v>
      </c>
      <c r="L34" s="60">
        <f t="shared" si="7"/>
        <v>0.15702890688108001</v>
      </c>
      <c r="M34" s="60">
        <f t="shared" si="7"/>
        <v>6.7753031850088366E-2</v>
      </c>
      <c r="N34" s="60">
        <f t="shared" si="7"/>
        <v>0.32020719752813243</v>
      </c>
      <c r="O34" s="60">
        <f t="shared" si="7"/>
        <v>8.6860045694359636E-2</v>
      </c>
      <c r="P34" s="60">
        <f t="shared" si="7"/>
        <v>0.12836838611467311</v>
      </c>
      <c r="Q34" s="60">
        <f t="shared" si="7"/>
        <v>5.4246349649827642E-2</v>
      </c>
      <c r="R34" s="60">
        <f t="shared" si="7"/>
        <v>0.26947478145886039</v>
      </c>
      <c r="S34" s="88"/>
      <c r="T34" s="88"/>
      <c r="U34" s="51">
        <v>41.19</v>
      </c>
      <c r="V34" s="51" t="s">
        <v>43</v>
      </c>
    </row>
    <row r="35" spans="1:22" x14ac:dyDescent="0.3">
      <c r="A35" s="56"/>
      <c r="B35" s="61" t="s">
        <v>44</v>
      </c>
      <c r="C35" s="60">
        <f>SUM(C16:C34)</f>
        <v>75.74231281622815</v>
      </c>
      <c r="D35" s="60">
        <f t="shared" ref="D35:R35" si="8">SUM(D16:D34)</f>
        <v>137.35017709086353</v>
      </c>
      <c r="E35" s="60">
        <f t="shared" si="8"/>
        <v>53.180259632259038</v>
      </c>
      <c r="F35" s="60">
        <f t="shared" si="8"/>
        <v>266.27274953935068</v>
      </c>
      <c r="G35" s="60">
        <f t="shared" si="8"/>
        <v>416.32355928691203</v>
      </c>
      <c r="H35" s="60">
        <f t="shared" si="8"/>
        <v>666.5242444529872</v>
      </c>
      <c r="I35" s="60">
        <f t="shared" si="8"/>
        <v>282.64077715729906</v>
      </c>
      <c r="J35" s="60">
        <f t="shared" si="8"/>
        <v>1365.4885808971983</v>
      </c>
      <c r="K35" s="60">
        <f t="shared" si="8"/>
        <v>4.2875193825662947</v>
      </c>
      <c r="L35" s="60">
        <f t="shared" si="8"/>
        <v>7.0554116421977007</v>
      </c>
      <c r="M35" s="60">
        <f t="shared" si="8"/>
        <v>3.0441881001650217</v>
      </c>
      <c r="N35" s="60">
        <f t="shared" si="8"/>
        <v>14.387119124929022</v>
      </c>
      <c r="O35" s="60">
        <f t="shared" si="8"/>
        <v>3.9026787475373292</v>
      </c>
      <c r="P35" s="60">
        <f t="shared" si="8"/>
        <v>5.767675671139239</v>
      </c>
      <c r="Q35" s="60">
        <f t="shared" si="8"/>
        <v>2.4373240218501149</v>
      </c>
      <c r="R35" s="60">
        <f t="shared" si="8"/>
        <v>12.107678440526684</v>
      </c>
    </row>
    <row r="36" spans="1:22" ht="15.75" customHeight="1" x14ac:dyDescent="0.3">
      <c r="A36" s="55"/>
      <c r="B36" s="55" t="s">
        <v>45</v>
      </c>
      <c r="C36" s="60">
        <f>C14+C35</f>
        <v>369.82421817958357</v>
      </c>
      <c r="D36" s="60">
        <f t="shared" ref="D36:R36" si="9">D14+D35</f>
        <v>670.63468186797695</v>
      </c>
      <c r="E36" s="60">
        <f t="shared" si="9"/>
        <v>259.66130700030124</v>
      </c>
      <c r="F36" s="60">
        <f t="shared" si="9"/>
        <v>1300.1202070478616</v>
      </c>
      <c r="G36" s="60">
        <f t="shared" si="9"/>
        <v>1996.7913802196742</v>
      </c>
      <c r="H36" s="60">
        <f t="shared" si="9"/>
        <v>3196.8161213618732</v>
      </c>
      <c r="I36" s="60">
        <f t="shared" si="9"/>
        <v>1355.6154940954036</v>
      </c>
      <c r="J36" s="60">
        <f t="shared" si="9"/>
        <v>6549.2229956769506</v>
      </c>
      <c r="K36" s="60">
        <f t="shared" si="9"/>
        <v>20.564009781952059</v>
      </c>
      <c r="L36" s="60">
        <f t="shared" si="9"/>
        <v>33.839509767769215</v>
      </c>
      <c r="M36" s="60">
        <f t="shared" si="9"/>
        <v>14.600683585114409</v>
      </c>
      <c r="N36" s="60">
        <f t="shared" si="9"/>
        <v>69.004203134835691</v>
      </c>
      <c r="O36" s="60">
        <f t="shared" si="9"/>
        <v>18.71821834007374</v>
      </c>
      <c r="P36" s="60">
        <f t="shared" si="9"/>
        <v>27.663207635330217</v>
      </c>
      <c r="Q36" s="60">
        <f t="shared" si="9"/>
        <v>11.690012465229366</v>
      </c>
      <c r="R36" s="60">
        <f t="shared" si="9"/>
        <v>58.071438440633322</v>
      </c>
    </row>
    <row r="37" spans="1:22" ht="34.5" customHeight="1" x14ac:dyDescent="0.3">
      <c r="A37" s="55"/>
      <c r="B37" s="55" t="s">
        <v>46</v>
      </c>
      <c r="C37" s="62">
        <v>291</v>
      </c>
      <c r="D37" s="62">
        <v>291</v>
      </c>
      <c r="E37" s="62">
        <v>291</v>
      </c>
      <c r="F37" s="62" t="s">
        <v>47</v>
      </c>
      <c r="G37" s="62">
        <v>1208</v>
      </c>
      <c r="H37" s="62">
        <v>1208</v>
      </c>
      <c r="I37" s="62">
        <v>1208</v>
      </c>
      <c r="J37" s="62" t="s">
        <v>47</v>
      </c>
      <c r="K37" s="81">
        <v>15</v>
      </c>
      <c r="L37" s="81">
        <v>15</v>
      </c>
      <c r="M37" s="81">
        <v>15</v>
      </c>
      <c r="N37" s="81" t="s">
        <v>47</v>
      </c>
      <c r="O37" s="81">
        <v>10</v>
      </c>
      <c r="P37" s="81">
        <v>10</v>
      </c>
      <c r="Q37" s="81">
        <v>10</v>
      </c>
      <c r="R37" s="81" t="s">
        <v>47</v>
      </c>
    </row>
    <row r="38" spans="1:22" ht="56.25" customHeight="1" x14ac:dyDescent="0.3">
      <c r="A38" s="55"/>
      <c r="B38" s="55" t="s">
        <v>122</v>
      </c>
      <c r="C38" s="60">
        <f>C14/C37</f>
        <v>1.0105907400802592</v>
      </c>
      <c r="D38" s="60">
        <f t="shared" ref="D38:E38" si="10">D14/D37</f>
        <v>1.8325927999213518</v>
      </c>
      <c r="E38" s="60">
        <f t="shared" si="10"/>
        <v>0.70955686380770522</v>
      </c>
      <c r="F38" s="60">
        <f>SUM(C38:E38)</f>
        <v>3.5527404038093167</v>
      </c>
      <c r="G38" s="60">
        <f>G14/G37</f>
        <v>1.3083342888516243</v>
      </c>
      <c r="H38" s="63">
        <f t="shared" ref="H38:I38" si="11">H14/H37</f>
        <v>2.0946124808848396</v>
      </c>
      <c r="I38" s="60">
        <f t="shared" si="11"/>
        <v>0.88822410342558333</v>
      </c>
      <c r="J38" s="60">
        <f>SUM(G38:I38)</f>
        <v>4.2911708731620468</v>
      </c>
      <c r="K38" s="60">
        <f>K14/K37</f>
        <v>1.085099359959051</v>
      </c>
      <c r="L38" s="60">
        <f t="shared" ref="L38:M38" si="12">L14/L37</f>
        <v>1.7856065417047673</v>
      </c>
      <c r="M38" s="60">
        <f t="shared" si="12"/>
        <v>0.77043303232995919</v>
      </c>
      <c r="N38" s="60">
        <f>SUM(K38:M38)</f>
        <v>3.6411389339937776</v>
      </c>
      <c r="O38" s="60">
        <f>O14/O37</f>
        <v>1.4815539592536411</v>
      </c>
      <c r="P38" s="60">
        <f t="shared" ref="P38:Q38" si="13">P14/P37</f>
        <v>2.1895531964190975</v>
      </c>
      <c r="Q38" s="60">
        <f t="shared" si="13"/>
        <v>0.92526884433792511</v>
      </c>
      <c r="R38" s="60">
        <f>SUM(O38:Q38)</f>
        <v>4.5963760000106637</v>
      </c>
    </row>
    <row r="39" spans="1:22" ht="65.25" customHeight="1" x14ac:dyDescent="0.3">
      <c r="A39" s="55"/>
      <c r="B39" s="55" t="s">
        <v>125</v>
      </c>
      <c r="C39" s="59">
        <f>C9/C37</f>
        <v>0.53955326460481101</v>
      </c>
      <c r="D39" s="59">
        <f t="shared" ref="D39:I39" si="14">D9/D37</f>
        <v>0.97841924398625435</v>
      </c>
      <c r="E39" s="59">
        <f t="shared" si="14"/>
        <v>0.37883161512027491</v>
      </c>
      <c r="F39" s="59">
        <f>SUM(C39:E39)</f>
        <v>1.8968041237113402</v>
      </c>
      <c r="G39" s="59">
        <f t="shared" si="14"/>
        <v>0.69851821192052976</v>
      </c>
      <c r="H39" s="59">
        <f t="shared" si="14"/>
        <v>1.1183112582781458</v>
      </c>
      <c r="I39" s="59">
        <f t="shared" si="14"/>
        <v>0.47422185430463576</v>
      </c>
      <c r="J39" s="59">
        <f>G39+H39+I39</f>
        <v>2.2910513245033113</v>
      </c>
      <c r="K39" s="59">
        <f>K9/K37</f>
        <v>0.57933333333333326</v>
      </c>
      <c r="L39" s="59">
        <f t="shared" ref="L39:Q39" si="15">L9/L37</f>
        <v>0.95333333333333337</v>
      </c>
      <c r="M39" s="59">
        <f t="shared" si="15"/>
        <v>0.41133333333333333</v>
      </c>
      <c r="N39" s="59">
        <f>SUM(K39:M39)</f>
        <v>1.944</v>
      </c>
      <c r="O39" s="59">
        <f t="shared" si="15"/>
        <v>0.79100000000000004</v>
      </c>
      <c r="P39" s="59">
        <f t="shared" si="15"/>
        <v>1.169</v>
      </c>
      <c r="Q39" s="59">
        <f t="shared" si="15"/>
        <v>0.49400000000000005</v>
      </c>
      <c r="R39" s="59">
        <f>SUM(O39:Q39)</f>
        <v>2.4540000000000002</v>
      </c>
    </row>
  </sheetData>
  <mergeCells count="6">
    <mergeCell ref="K1:R1"/>
    <mergeCell ref="A6:B6"/>
    <mergeCell ref="K6:N6"/>
    <mergeCell ref="O6:R6"/>
    <mergeCell ref="C6:F6"/>
    <mergeCell ref="G6:J6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ED07-1106-47D5-9A60-676247541C88}">
  <sheetPr>
    <pageSetUpPr fitToPage="1"/>
  </sheetPr>
  <dimension ref="A1:AB39"/>
  <sheetViews>
    <sheetView topLeftCell="A7" zoomScale="106" zoomScaleNormal="106" workbookViewId="0">
      <selection activeCell="G1" sqref="G1:N1"/>
    </sheetView>
  </sheetViews>
  <sheetFormatPr defaultColWidth="9.109375" defaultRowHeight="15.6" x14ac:dyDescent="0.3"/>
  <cols>
    <col min="1" max="1" width="10.6640625" style="76" customWidth="1"/>
    <col min="2" max="2" width="43" style="79" customWidth="1"/>
    <col min="3" max="10" width="10.6640625" style="76" customWidth="1"/>
    <col min="11" max="11" width="11.6640625" style="76" customWidth="1"/>
    <col min="12" max="12" width="11" style="76" customWidth="1"/>
    <col min="13" max="14" width="9.109375" style="76"/>
    <col min="15" max="15" width="9.109375" style="73" hidden="1" customWidth="1"/>
    <col min="16" max="16" width="10.88671875" style="73" hidden="1" customWidth="1"/>
    <col min="17" max="17" width="11.88671875" style="73" hidden="1" customWidth="1"/>
    <col min="18" max="18" width="32.33203125" style="73" customWidth="1"/>
    <col min="19" max="19" width="9.109375" style="73"/>
    <col min="20" max="28" width="9.109375" style="75"/>
    <col min="29" max="16384" width="9.109375" style="76"/>
  </cols>
  <sheetData>
    <row r="1" spans="1:28" s="70" customFormat="1" ht="46.5" customHeight="1" x14ac:dyDescent="0.3">
      <c r="A1" s="66"/>
      <c r="B1" s="66"/>
      <c r="C1" s="66"/>
      <c r="D1" s="66"/>
      <c r="E1" s="66"/>
      <c r="F1" s="66"/>
      <c r="G1" s="14" t="s">
        <v>132</v>
      </c>
      <c r="H1" s="14"/>
      <c r="I1" s="14"/>
      <c r="J1" s="14"/>
      <c r="K1" s="14"/>
      <c r="L1" s="14"/>
      <c r="M1" s="14"/>
      <c r="N1" s="14"/>
      <c r="O1" s="68"/>
      <c r="P1" s="68"/>
      <c r="Q1" s="68"/>
      <c r="R1" s="68"/>
      <c r="S1" s="68"/>
      <c r="T1" s="69"/>
      <c r="U1" s="69"/>
      <c r="V1" s="69"/>
      <c r="W1" s="69"/>
      <c r="X1" s="69"/>
      <c r="Y1" s="69"/>
      <c r="Z1" s="69"/>
      <c r="AA1" s="69"/>
      <c r="AB1" s="69"/>
    </row>
    <row r="2" spans="1:28" s="70" customFormat="1" ht="14.25" customHeight="1" x14ac:dyDescent="0.3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66"/>
      <c r="O2" s="68"/>
      <c r="P2" s="68"/>
      <c r="Q2" s="68"/>
      <c r="R2" s="68"/>
      <c r="S2" s="68"/>
      <c r="T2" s="69"/>
      <c r="U2" s="69"/>
      <c r="V2" s="69"/>
      <c r="W2" s="69"/>
      <c r="X2" s="69"/>
      <c r="Y2" s="69"/>
      <c r="Z2" s="69"/>
      <c r="AA2" s="69"/>
      <c r="AB2" s="69"/>
    </row>
    <row r="3" spans="1:28" s="70" customFormat="1" ht="22.5" customHeight="1" x14ac:dyDescent="0.3">
      <c r="A3" s="64" t="s">
        <v>14</v>
      </c>
      <c r="B3" s="65"/>
      <c r="C3" s="96"/>
      <c r="D3" s="96"/>
      <c r="E3" s="96"/>
      <c r="F3" s="96"/>
      <c r="G3" s="96"/>
      <c r="H3" s="96"/>
      <c r="I3" s="96"/>
      <c r="J3" s="96"/>
      <c r="K3" s="96"/>
      <c r="L3" s="66"/>
      <c r="O3" s="68"/>
      <c r="P3" s="68"/>
      <c r="Q3" s="68"/>
      <c r="R3" s="68"/>
      <c r="S3" s="68"/>
      <c r="T3" s="69"/>
      <c r="U3" s="69"/>
      <c r="V3" s="69"/>
      <c r="W3" s="69"/>
      <c r="X3" s="69"/>
      <c r="Y3" s="69"/>
      <c r="Z3" s="69"/>
      <c r="AA3" s="69"/>
      <c r="AB3" s="69"/>
    </row>
    <row r="4" spans="1:28" s="70" customFormat="1" ht="15.75" customHeight="1" x14ac:dyDescent="0.3">
      <c r="A4" s="16" t="s">
        <v>126</v>
      </c>
      <c r="B4" s="16"/>
      <c r="C4" s="96"/>
      <c r="D4" s="96"/>
      <c r="E4" s="96"/>
      <c r="F4" s="96"/>
      <c r="G4" s="96"/>
      <c r="H4" s="96"/>
      <c r="I4" s="96"/>
      <c r="J4" s="96"/>
      <c r="K4" s="96"/>
      <c r="L4" s="66"/>
      <c r="O4" s="68"/>
      <c r="P4" s="68"/>
      <c r="Q4" s="68"/>
      <c r="R4" s="68"/>
      <c r="S4" s="68"/>
      <c r="T4" s="69"/>
      <c r="U4" s="69"/>
      <c r="V4" s="69"/>
      <c r="W4" s="69"/>
      <c r="X4" s="69"/>
      <c r="Y4" s="69"/>
      <c r="Z4" s="69"/>
      <c r="AA4" s="69"/>
      <c r="AB4" s="69"/>
    </row>
    <row r="5" spans="1:28" s="70" customFormat="1" x14ac:dyDescent="0.3">
      <c r="A5" s="65"/>
      <c r="B5" s="65"/>
      <c r="C5" s="71"/>
      <c r="D5" s="71"/>
      <c r="E5" s="71"/>
      <c r="F5" s="66"/>
      <c r="G5" s="66"/>
      <c r="H5" s="66"/>
      <c r="I5" s="66"/>
      <c r="J5" s="66"/>
      <c r="K5" s="66"/>
      <c r="L5" s="66"/>
      <c r="O5" s="68"/>
      <c r="P5" s="68"/>
      <c r="Q5" s="68"/>
      <c r="R5" s="68"/>
      <c r="S5" s="68"/>
      <c r="T5" s="69"/>
      <c r="U5" s="69"/>
      <c r="V5" s="69"/>
      <c r="W5" s="69"/>
      <c r="X5" s="69"/>
      <c r="Y5" s="69"/>
      <c r="Z5" s="69"/>
      <c r="AA5" s="69"/>
      <c r="AB5" s="69"/>
    </row>
    <row r="6" spans="1:28" ht="31.5" customHeight="1" x14ac:dyDescent="0.3">
      <c r="A6" s="9" t="s">
        <v>115</v>
      </c>
      <c r="B6" s="8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K6" s="11" t="s">
        <v>54</v>
      </c>
      <c r="L6" s="11"/>
      <c r="M6" s="11"/>
      <c r="N6" s="11"/>
      <c r="P6" s="74" t="s">
        <v>79</v>
      </c>
      <c r="Q6" s="74" t="s">
        <v>80</v>
      </c>
    </row>
    <row r="7" spans="1:28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</row>
    <row r="8" spans="1:28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28" x14ac:dyDescent="0.3">
      <c r="A9" s="58">
        <v>2363</v>
      </c>
      <c r="B9" s="55" t="s">
        <v>18</v>
      </c>
      <c r="C9" s="59">
        <v>131.06</v>
      </c>
      <c r="D9" s="59">
        <v>296.27999999999997</v>
      </c>
      <c r="E9" s="59">
        <v>93.8</v>
      </c>
      <c r="F9" s="59">
        <f>C9+D9+E9</f>
        <v>521.14</v>
      </c>
      <c r="G9" s="59">
        <v>1187.1199999999999</v>
      </c>
      <c r="H9" s="59">
        <v>2247.1799999999998</v>
      </c>
      <c r="I9" s="59">
        <v>854.45</v>
      </c>
      <c r="J9" s="59">
        <f>SUM(G9:I9)</f>
        <v>4288.75</v>
      </c>
      <c r="K9" s="59">
        <v>15.2</v>
      </c>
      <c r="L9" s="59">
        <v>14.78</v>
      </c>
      <c r="M9" s="59">
        <v>9.81</v>
      </c>
      <c r="N9" s="59">
        <f>SUM(K9:M9)</f>
        <v>39.79</v>
      </c>
      <c r="P9" s="77">
        <v>5000.6000000000004</v>
      </c>
      <c r="T9" s="75">
        <v>4997.84</v>
      </c>
    </row>
    <row r="10" spans="1:28" x14ac:dyDescent="0.3">
      <c r="A10" s="58">
        <v>1100</v>
      </c>
      <c r="B10" s="55" t="s">
        <v>19</v>
      </c>
      <c r="C10" s="60">
        <f>Q10/P9*C9</f>
        <v>51.552817661880574</v>
      </c>
      <c r="D10" s="60">
        <f>Q10/P9*D9</f>
        <v>116.54256689197295</v>
      </c>
      <c r="E10" s="60">
        <f>Q10/P9*E9</f>
        <v>36.896492420909489</v>
      </c>
      <c r="F10" s="60">
        <f>SUM(C10:E10)</f>
        <v>204.99187697476302</v>
      </c>
      <c r="G10" s="60">
        <f>Q10/P9*G9</f>
        <v>466.95697316322037</v>
      </c>
      <c r="H10" s="60">
        <f>Q10/P9*H9</f>
        <v>883.93453985521728</v>
      </c>
      <c r="I10" s="60">
        <f>Q10/P9*I9</f>
        <v>336.10029796424431</v>
      </c>
      <c r="J10" s="60">
        <f>SUM(G10:I10)</f>
        <v>1686.9918109826822</v>
      </c>
      <c r="K10" s="59">
        <f>Q10/P9*K9</f>
        <v>5.9789625244970601</v>
      </c>
      <c r="L10" s="59">
        <f>Q10/P9*L9</f>
        <v>5.8137543494780619</v>
      </c>
      <c r="M10" s="59">
        <f>Q10/P9*M9</f>
        <v>3.8587909450865898</v>
      </c>
      <c r="N10" s="59">
        <f>SUM(K10:M10)</f>
        <v>15.651507819061711</v>
      </c>
      <c r="Q10" s="73">
        <v>1967</v>
      </c>
    </row>
    <row r="11" spans="1:28" ht="46.8" x14ac:dyDescent="0.3">
      <c r="A11" s="58">
        <v>1200</v>
      </c>
      <c r="B11" s="55" t="s">
        <v>20</v>
      </c>
      <c r="C11" s="60">
        <f>Q11/P9*C9</f>
        <v>12.161309686437628</v>
      </c>
      <c r="D11" s="60">
        <f>Q11/P9*D9</f>
        <v>27.49239152981642</v>
      </c>
      <c r="E11" s="60">
        <f>Q11/P9*E9</f>
        <v>8.7038825620925486</v>
      </c>
      <c r="F11" s="60">
        <f>SUM(C11:E11)</f>
        <v>48.357583778346594</v>
      </c>
      <c r="G11" s="60">
        <f>Q11/P9*G9</f>
        <v>110.15514996920369</v>
      </c>
      <c r="H11" s="60">
        <f>Q11/P9*H9</f>
        <v>208.52015795184576</v>
      </c>
      <c r="I11" s="60">
        <f>Q11/P9*I9</f>
        <v>79.286060289765231</v>
      </c>
      <c r="J11" s="60">
        <f>SUM(G11:I11)</f>
        <v>397.96136821081473</v>
      </c>
      <c r="K11" s="59">
        <f>Q11/P9*K9</f>
        <v>1.4104372595288566</v>
      </c>
      <c r="L11" s="59">
        <f>Q11/P9*L9</f>
        <v>1.3714646510418749</v>
      </c>
      <c r="M11" s="59">
        <f>Q11/P9*M9</f>
        <v>0.91028878394592661</v>
      </c>
      <c r="N11" s="59">
        <f>SUM(K11:M11)</f>
        <v>3.6921906945166576</v>
      </c>
      <c r="Q11" s="73">
        <f>Q10*0.2359</f>
        <v>464.01530000000002</v>
      </c>
    </row>
    <row r="12" spans="1:28" x14ac:dyDescent="0.3">
      <c r="A12" s="58">
        <v>2222</v>
      </c>
      <c r="B12" s="55" t="s">
        <v>21</v>
      </c>
      <c r="C12" s="60">
        <f>Q12/P9*C9</f>
        <v>23.557042994840621</v>
      </c>
      <c r="D12" s="60">
        <f>Q12/P9*D9</f>
        <v>53.254087429508452</v>
      </c>
      <c r="E12" s="60">
        <f>Q12/P9*E9</f>
        <v>16.859840019197694</v>
      </c>
      <c r="F12" s="60">
        <f t="shared" ref="F12:F13" si="0">SUM(C12:E12)</f>
        <v>93.670970443546764</v>
      </c>
      <c r="G12" s="60">
        <f>Q12/P9*G9</f>
        <v>213.37583457985039</v>
      </c>
      <c r="H12" s="60">
        <f>Q12/P9*H9</f>
        <v>403.91359588849338</v>
      </c>
      <c r="I12" s="60">
        <f>Q12/P9*I9</f>
        <v>153.58092008958926</v>
      </c>
      <c r="J12" s="60">
        <f t="shared" ref="J12:J13" si="1">SUM(G12:I12)</f>
        <v>770.87035055793308</v>
      </c>
      <c r="K12" s="59">
        <f>Q12/P9*K9</f>
        <v>2.7320849498060231</v>
      </c>
      <c r="L12" s="59">
        <f>Q12/P9*L9</f>
        <v>2.6565931288245408</v>
      </c>
      <c r="M12" s="59">
        <f>Q12/P9*M9</f>
        <v>1.763273247210335</v>
      </c>
      <c r="N12" s="59">
        <f t="shared" ref="N12:N13" si="2">SUM(K12:M12)</f>
        <v>7.1519513258408987</v>
      </c>
      <c r="Q12" s="73">
        <f>6914*0.13</f>
        <v>898.82</v>
      </c>
      <c r="R12" s="68"/>
    </row>
    <row r="13" spans="1:28" x14ac:dyDescent="0.3">
      <c r="A13" s="58">
        <v>2223</v>
      </c>
      <c r="B13" s="55" t="s">
        <v>22</v>
      </c>
      <c r="C13" s="60">
        <f>Q13/P9*C9</f>
        <v>27.383273727152737</v>
      </c>
      <c r="D13" s="60">
        <f>Q13/P9*D9</f>
        <v>61.903832900051981</v>
      </c>
      <c r="E13" s="60">
        <f>Q13/P9*E9</f>
        <v>19.598283805943282</v>
      </c>
      <c r="F13" s="60">
        <f t="shared" si="0"/>
        <v>108.885390433148</v>
      </c>
      <c r="G13" s="60">
        <f>Q13/P9*G9</f>
        <v>248.0332054553453</v>
      </c>
      <c r="H13" s="60">
        <f>Q13/P9*H9</f>
        <v>469.51888489381264</v>
      </c>
      <c r="I13" s="60">
        <f>Q13/P9*I9</f>
        <v>178.52615776106865</v>
      </c>
      <c r="J13" s="60">
        <f t="shared" si="1"/>
        <v>896.07824811022647</v>
      </c>
      <c r="K13" s="59">
        <f>Q13/P9*K9</f>
        <v>3.1758412990441141</v>
      </c>
      <c r="L13" s="59">
        <f>Q13/P9*L9</f>
        <v>3.0880877894652636</v>
      </c>
      <c r="M13" s="59">
        <f>Q13/P9*M9</f>
        <v>2.049671259448866</v>
      </c>
      <c r="N13" s="59">
        <f t="shared" si="2"/>
        <v>8.3136003479582428</v>
      </c>
      <c r="Q13" s="73">
        <f>8037*0.13</f>
        <v>1044.81</v>
      </c>
      <c r="R13" s="68"/>
    </row>
    <row r="14" spans="1:28" x14ac:dyDescent="0.3">
      <c r="A14" s="56"/>
      <c r="B14" s="61" t="s">
        <v>23</v>
      </c>
      <c r="C14" s="60">
        <f>SUM(C9:C13)</f>
        <v>245.71444407031154</v>
      </c>
      <c r="D14" s="60">
        <f t="shared" ref="D14:N14" si="3">SUM(D9:D13)</f>
        <v>555.47287875134975</v>
      </c>
      <c r="E14" s="60">
        <f t="shared" si="3"/>
        <v>175.85849880814303</v>
      </c>
      <c r="F14" s="60">
        <f t="shared" si="3"/>
        <v>977.04582162980444</v>
      </c>
      <c r="G14" s="60">
        <f t="shared" si="3"/>
        <v>2225.6411631676197</v>
      </c>
      <c r="H14" s="60">
        <f t="shared" si="3"/>
        <v>4213.0671785893692</v>
      </c>
      <c r="I14" s="60">
        <f t="shared" si="3"/>
        <v>1601.9434361046672</v>
      </c>
      <c r="J14" s="60">
        <f t="shared" si="3"/>
        <v>8040.6517778616562</v>
      </c>
      <c r="K14" s="60">
        <f t="shared" si="3"/>
        <v>28.497326032876053</v>
      </c>
      <c r="L14" s="60">
        <f t="shared" si="3"/>
        <v>27.709899918809739</v>
      </c>
      <c r="M14" s="60">
        <f t="shared" si="3"/>
        <v>18.392024235691714</v>
      </c>
      <c r="N14" s="60">
        <f t="shared" si="3"/>
        <v>74.599250187377507</v>
      </c>
      <c r="Q14" s="73">
        <f>SUM(Q10:Q13)</f>
        <v>4374.6453000000001</v>
      </c>
    </row>
    <row r="15" spans="1:28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</row>
    <row r="16" spans="1:28" x14ac:dyDescent="0.3">
      <c r="A16" s="58">
        <v>1100</v>
      </c>
      <c r="B16" s="55" t="s">
        <v>25</v>
      </c>
      <c r="C16" s="60">
        <f t="shared" ref="C16:C34" si="4">$U16/$T$9*C$9</f>
        <v>29.768722488114868</v>
      </c>
      <c r="D16" s="60">
        <f>U16/T9*D9</f>
        <v>67.296483280777295</v>
      </c>
      <c r="E16" s="60">
        <f>U16/T9*E9</f>
        <v>21.305556000192084</v>
      </c>
      <c r="F16" s="60">
        <f>SUM(C16:E16)</f>
        <v>118.37076176908424</v>
      </c>
      <c r="G16" s="60">
        <f t="shared" ref="G16:N25" si="5">$U16/$T$9*G$9</f>
        <v>269.64020937044802</v>
      </c>
      <c r="H16" s="60">
        <f t="shared" si="5"/>
        <v>510.42024874745891</v>
      </c>
      <c r="I16" s="60">
        <f t="shared" si="5"/>
        <v>194.07816976934038</v>
      </c>
      <c r="J16" s="60">
        <f t="shared" si="5"/>
        <v>974.13862788724737</v>
      </c>
      <c r="K16" s="60">
        <f t="shared" si="5"/>
        <v>3.4524994797752631</v>
      </c>
      <c r="L16" s="60">
        <f t="shared" si="5"/>
        <v>3.3571014678341045</v>
      </c>
      <c r="M16" s="60">
        <f t="shared" si="5"/>
        <v>2.2282249931970615</v>
      </c>
      <c r="N16" s="60">
        <f t="shared" si="5"/>
        <v>9.0378259408064281</v>
      </c>
      <c r="Q16" s="68"/>
      <c r="R16" s="68"/>
      <c r="U16" s="69">
        <v>1135.2</v>
      </c>
      <c r="V16" s="69"/>
    </row>
    <row r="17" spans="1:22" ht="46.8" x14ac:dyDescent="0.3">
      <c r="A17" s="58">
        <v>1200</v>
      </c>
      <c r="B17" s="55" t="s">
        <v>26</v>
      </c>
      <c r="C17" s="60">
        <f t="shared" si="4"/>
        <v>7.0224416349462961</v>
      </c>
      <c r="D17" s="60">
        <f>U17/T9*D9</f>
        <v>15.875240405935362</v>
      </c>
      <c r="E17" s="60">
        <f>U17/T9*E9</f>
        <v>5.0259806604453114</v>
      </c>
      <c r="F17" s="60">
        <f t="shared" ref="F17:F34" si="6">SUM(C17:E17)</f>
        <v>27.923662701326968</v>
      </c>
      <c r="G17" s="60">
        <f t="shared" si="5"/>
        <v>63.608125390488681</v>
      </c>
      <c r="H17" s="60">
        <f t="shared" si="5"/>
        <v>120.40813667952554</v>
      </c>
      <c r="I17" s="60">
        <f t="shared" si="5"/>
        <v>45.78304024858739</v>
      </c>
      <c r="J17" s="60">
        <f t="shared" si="5"/>
        <v>229.7993023186016</v>
      </c>
      <c r="K17" s="60">
        <f t="shared" si="5"/>
        <v>0.81444462727898437</v>
      </c>
      <c r="L17" s="60">
        <f t="shared" si="5"/>
        <v>0.79194023626206511</v>
      </c>
      <c r="M17" s="60">
        <f t="shared" si="5"/>
        <v>0.52563827589518675</v>
      </c>
      <c r="N17" s="60">
        <f t="shared" si="5"/>
        <v>2.1320231394362361</v>
      </c>
      <c r="Q17" s="68"/>
      <c r="R17" s="68"/>
      <c r="U17" s="69">
        <f>U16*0.2359</f>
        <v>267.79367999999999</v>
      </c>
      <c r="V17" s="69"/>
    </row>
    <row r="18" spans="1:22" x14ac:dyDescent="0.3">
      <c r="A18" s="58">
        <v>2210</v>
      </c>
      <c r="B18" s="55" t="s">
        <v>27</v>
      </c>
      <c r="C18" s="60">
        <f t="shared" si="4"/>
        <v>0.34168997006706897</v>
      </c>
      <c r="D18" s="60">
        <f>U18/T9*D9</f>
        <v>0.77243937380948557</v>
      </c>
      <c r="E18" s="60">
        <f>U18/T9*E9</f>
        <v>0.24454844492820896</v>
      </c>
      <c r="F18" s="60">
        <f t="shared" si="6"/>
        <v>1.3586777888047634</v>
      </c>
      <c r="G18" s="60">
        <f t="shared" si="5"/>
        <v>3.0949717477950469</v>
      </c>
      <c r="H18" s="60">
        <f t="shared" si="5"/>
        <v>5.858682030637234</v>
      </c>
      <c r="I18" s="60">
        <f t="shared" si="5"/>
        <v>2.2276590487090422</v>
      </c>
      <c r="J18" s="60">
        <f t="shared" si="5"/>
        <v>11.181312827141324</v>
      </c>
      <c r="K18" s="60">
        <f t="shared" si="5"/>
        <v>3.9628319433995481E-2</v>
      </c>
      <c r="L18" s="60">
        <f t="shared" si="5"/>
        <v>3.8533326397003499E-2</v>
      </c>
      <c r="M18" s="60">
        <f t="shared" si="5"/>
        <v>2.5575908792598401E-2</v>
      </c>
      <c r="N18" s="60">
        <f t="shared" si="5"/>
        <v>0.10373755462359738</v>
      </c>
      <c r="Q18" s="51"/>
      <c r="R18" s="51"/>
      <c r="U18" s="31">
        <v>13.03</v>
      </c>
      <c r="V18" s="31" t="s">
        <v>108</v>
      </c>
    </row>
    <row r="19" spans="1:22" x14ac:dyDescent="0.3">
      <c r="A19" s="58">
        <v>2221</v>
      </c>
      <c r="B19" s="55" t="s">
        <v>28</v>
      </c>
      <c r="C19" s="60">
        <f t="shared" si="4"/>
        <v>2.1823053959310421</v>
      </c>
      <c r="D19" s="60">
        <f>U19/T9*D9</f>
        <v>4.9334155555199848</v>
      </c>
      <c r="E19" s="60">
        <f>U19/T9*E9</f>
        <v>1.561881932995054</v>
      </c>
      <c r="F19" s="60">
        <f t="shared" si="6"/>
        <v>8.6776028844460811</v>
      </c>
      <c r="G19" s="60">
        <f t="shared" si="5"/>
        <v>19.766964608710961</v>
      </c>
      <c r="H19" s="60">
        <f t="shared" si="5"/>
        <v>37.418228594752932</v>
      </c>
      <c r="I19" s="60">
        <f t="shared" si="5"/>
        <v>14.227612128439487</v>
      </c>
      <c r="J19" s="60">
        <f t="shared" si="5"/>
        <v>71.412805331903385</v>
      </c>
      <c r="K19" s="60">
        <f t="shared" si="5"/>
        <v>0.25309813839578699</v>
      </c>
      <c r="L19" s="60">
        <f t="shared" si="5"/>
        <v>0.2461046372032718</v>
      </c>
      <c r="M19" s="60">
        <f t="shared" si="5"/>
        <v>0.1633482064251757</v>
      </c>
      <c r="N19" s="60">
        <f t="shared" si="5"/>
        <v>0.66255098202423446</v>
      </c>
      <c r="Q19" s="51"/>
      <c r="R19" s="51"/>
      <c r="U19" s="31">
        <v>83.22</v>
      </c>
      <c r="V19" s="31" t="s">
        <v>89</v>
      </c>
    </row>
    <row r="20" spans="1:22" x14ac:dyDescent="0.3">
      <c r="A20" s="58">
        <v>2224</v>
      </c>
      <c r="B20" s="55" t="s">
        <v>29</v>
      </c>
      <c r="C20" s="60">
        <f t="shared" si="4"/>
        <v>0.56380156227490275</v>
      </c>
      <c r="D20" s="60">
        <f>U20/T9*D9</f>
        <v>1.274554607590479</v>
      </c>
      <c r="E20" s="60">
        <f>U20/T9*E9</f>
        <v>0.40351431818545608</v>
      </c>
      <c r="F20" s="60">
        <f t="shared" si="6"/>
        <v>2.241870488050838</v>
      </c>
      <c r="G20" s="60">
        <f t="shared" si="5"/>
        <v>5.1068221471675761</v>
      </c>
      <c r="H20" s="60">
        <f t="shared" si="5"/>
        <v>9.6670501656715686</v>
      </c>
      <c r="I20" s="60">
        <f t="shared" si="5"/>
        <v>3.675722912298113</v>
      </c>
      <c r="J20" s="60">
        <f t="shared" si="5"/>
        <v>18.449595225137259</v>
      </c>
      <c r="K20" s="60">
        <f t="shared" si="5"/>
        <v>6.5388247723016338E-2</v>
      </c>
      <c r="L20" s="60">
        <f t="shared" si="5"/>
        <v>6.3581467193827734E-2</v>
      </c>
      <c r="M20" s="60">
        <f t="shared" si="5"/>
        <v>4.2201230931762521E-2</v>
      </c>
      <c r="N20" s="60">
        <f t="shared" si="5"/>
        <v>0.17117094584860659</v>
      </c>
      <c r="Q20" s="51"/>
      <c r="R20" s="51"/>
      <c r="U20" s="31">
        <v>21.5</v>
      </c>
      <c r="V20" s="31" t="s">
        <v>90</v>
      </c>
    </row>
    <row r="21" spans="1:22" x14ac:dyDescent="0.3">
      <c r="A21" s="58">
        <v>2234</v>
      </c>
      <c r="B21" s="55" t="s">
        <v>30</v>
      </c>
      <c r="C21" s="60">
        <f t="shared" si="4"/>
        <v>2.3600995630112207</v>
      </c>
      <c r="D21" s="60">
        <f>U21/T9*D9</f>
        <v>5.3353448689834</v>
      </c>
      <c r="E21" s="60">
        <f>U21/T9*E9</f>
        <v>1.6891297040321418</v>
      </c>
      <c r="F21" s="60">
        <f t="shared" si="6"/>
        <v>9.384574136026762</v>
      </c>
      <c r="G21" s="60">
        <f t="shared" si="5"/>
        <v>21.377395034654967</v>
      </c>
      <c r="H21" s="60">
        <f t="shared" si="5"/>
        <v>40.466721623741449</v>
      </c>
      <c r="I21" s="60">
        <f t="shared" si="5"/>
        <v>15.386747074736286</v>
      </c>
      <c r="J21" s="60">
        <f t="shared" si="5"/>
        <v>77.230863733132708</v>
      </c>
      <c r="K21" s="60">
        <f t="shared" si="5"/>
        <v>0.27371824628239394</v>
      </c>
      <c r="L21" s="60">
        <f t="shared" si="5"/>
        <v>0.26615497895090678</v>
      </c>
      <c r="M21" s="60">
        <f t="shared" si="5"/>
        <v>0.17665631552830824</v>
      </c>
      <c r="N21" s="60">
        <f t="shared" si="5"/>
        <v>0.71652954076160891</v>
      </c>
      <c r="Q21" s="51"/>
      <c r="R21" s="51"/>
      <c r="U21" s="31">
        <f>3*30</f>
        <v>90</v>
      </c>
      <c r="V21" s="31" t="s">
        <v>91</v>
      </c>
    </row>
    <row r="22" spans="1:22" x14ac:dyDescent="0.3">
      <c r="A22" s="58">
        <v>2235</v>
      </c>
      <c r="B22" s="55" t="s">
        <v>31</v>
      </c>
      <c r="C22" s="60">
        <f t="shared" si="4"/>
        <v>1.5733997086741471</v>
      </c>
      <c r="D22" s="60">
        <f>U22/T9*D9</f>
        <v>3.5568965793222667</v>
      </c>
      <c r="E22" s="60">
        <f>U22/T9*E9</f>
        <v>1.1260864693547612</v>
      </c>
      <c r="F22" s="60">
        <f t="shared" si="6"/>
        <v>6.256382757351175</v>
      </c>
      <c r="G22" s="60">
        <f t="shared" si="5"/>
        <v>14.251596689769979</v>
      </c>
      <c r="H22" s="60">
        <f t="shared" si="5"/>
        <v>26.977814415827634</v>
      </c>
      <c r="I22" s="60">
        <f t="shared" si="5"/>
        <v>10.257831383157525</v>
      </c>
      <c r="J22" s="60">
        <f t="shared" si="5"/>
        <v>51.487242488755143</v>
      </c>
      <c r="K22" s="60">
        <f t="shared" si="5"/>
        <v>0.18247883085492933</v>
      </c>
      <c r="L22" s="60">
        <f t="shared" si="5"/>
        <v>0.17743665263393785</v>
      </c>
      <c r="M22" s="60">
        <f t="shared" si="5"/>
        <v>0.11777087701887215</v>
      </c>
      <c r="N22" s="60">
        <f t="shared" si="5"/>
        <v>0.47768636050773933</v>
      </c>
      <c r="Q22" s="51"/>
      <c r="R22" s="51"/>
      <c r="U22" s="31">
        <f>3*20</f>
        <v>60</v>
      </c>
      <c r="V22" s="31" t="s">
        <v>92</v>
      </c>
    </row>
    <row r="23" spans="1:22" x14ac:dyDescent="0.3">
      <c r="A23" s="58">
        <v>2243</v>
      </c>
      <c r="B23" s="55" t="s">
        <v>32</v>
      </c>
      <c r="C23" s="60">
        <f t="shared" si="4"/>
        <v>5.2753469898996359</v>
      </c>
      <c r="D23" s="60">
        <f>U23/T9*D9</f>
        <v>11.925681414371006</v>
      </c>
      <c r="E23" s="60">
        <f>U23/T9*E9</f>
        <v>3.7755802506682881</v>
      </c>
      <c r="F23" s="60">
        <f t="shared" si="6"/>
        <v>20.976608654938929</v>
      </c>
      <c r="G23" s="60">
        <f t="shared" si="5"/>
        <v>47.783228434683771</v>
      </c>
      <c r="H23" s="60">
        <f t="shared" si="5"/>
        <v>90.452115433867419</v>
      </c>
      <c r="I23" s="60">
        <f t="shared" si="5"/>
        <v>34.392798989163317</v>
      </c>
      <c r="J23" s="60">
        <f t="shared" si="5"/>
        <v>172.62814285771452</v>
      </c>
      <c r="K23" s="60">
        <f t="shared" si="5"/>
        <v>0.61182110671810208</v>
      </c>
      <c r="L23" s="60">
        <f t="shared" si="5"/>
        <v>0.59491552350615462</v>
      </c>
      <c r="M23" s="60">
        <f t="shared" si="5"/>
        <v>0.39486612216477518</v>
      </c>
      <c r="N23" s="60">
        <f t="shared" si="5"/>
        <v>1.6016027523890319</v>
      </c>
      <c r="Q23" s="51"/>
      <c r="R23" s="51"/>
      <c r="U23" s="31">
        <v>201.17</v>
      </c>
      <c r="V23" s="31" t="s">
        <v>93</v>
      </c>
    </row>
    <row r="24" spans="1:22" x14ac:dyDescent="0.3">
      <c r="A24" s="58">
        <v>2244</v>
      </c>
      <c r="B24" s="55" t="s">
        <v>33</v>
      </c>
      <c r="C24" s="60">
        <f t="shared" si="4"/>
        <v>0.18880796504089767</v>
      </c>
      <c r="D24" s="60">
        <f>U24/T9*D9</f>
        <v>0.426827589518672</v>
      </c>
      <c r="E24" s="60">
        <f>U24/T9*E9</f>
        <v>0.13513037632257136</v>
      </c>
      <c r="F24" s="60">
        <f t="shared" si="6"/>
        <v>0.75076593088214105</v>
      </c>
      <c r="G24" s="60">
        <f t="shared" si="5"/>
        <v>1.7101916027723976</v>
      </c>
      <c r="H24" s="60">
        <f t="shared" si="5"/>
        <v>3.2373377298993162</v>
      </c>
      <c r="I24" s="60">
        <f t="shared" si="5"/>
        <v>1.230939765978903</v>
      </c>
      <c r="J24" s="60">
        <f t="shared" si="5"/>
        <v>6.1784690986506172</v>
      </c>
      <c r="K24" s="60">
        <f t="shared" si="5"/>
        <v>2.1897459702591517E-2</v>
      </c>
      <c r="L24" s="60">
        <f t="shared" si="5"/>
        <v>2.1292398316072544E-2</v>
      </c>
      <c r="M24" s="60">
        <f t="shared" si="5"/>
        <v>1.413250524226466E-2</v>
      </c>
      <c r="N24" s="60">
        <f t="shared" si="5"/>
        <v>5.7322363260928717E-2</v>
      </c>
      <c r="Q24" s="51"/>
      <c r="R24" s="51"/>
      <c r="U24" s="31">
        <v>7.2</v>
      </c>
      <c r="V24" s="31" t="s">
        <v>94</v>
      </c>
    </row>
    <row r="25" spans="1:22" x14ac:dyDescent="0.3">
      <c r="A25" s="58">
        <v>2247</v>
      </c>
      <c r="B25" s="55" t="s">
        <v>34</v>
      </c>
      <c r="C25" s="60">
        <f t="shared" si="4"/>
        <v>9.1781649672658585E-3</v>
      </c>
      <c r="D25" s="60">
        <f>U25/T9*D9</f>
        <v>2.074856337937989E-2</v>
      </c>
      <c r="E25" s="60">
        <f>U25/T9*E9</f>
        <v>6.5688377379027737E-3</v>
      </c>
      <c r="F25" s="60">
        <f t="shared" si="6"/>
        <v>3.6495566084548521E-2</v>
      </c>
      <c r="G25" s="60">
        <f t="shared" si="5"/>
        <v>8.3134314023658201E-2</v>
      </c>
      <c r="H25" s="60">
        <f t="shared" si="5"/>
        <v>0.15737058409232788</v>
      </c>
      <c r="I25" s="60">
        <f t="shared" si="5"/>
        <v>5.9837349735085553E-2</v>
      </c>
      <c r="J25" s="60">
        <f t="shared" si="5"/>
        <v>0.30034224785107166</v>
      </c>
      <c r="K25" s="60">
        <f t="shared" si="5"/>
        <v>1.0644598466537543E-3</v>
      </c>
      <c r="L25" s="60">
        <f t="shared" si="5"/>
        <v>1.0350471403646373E-3</v>
      </c>
      <c r="M25" s="60">
        <f t="shared" si="5"/>
        <v>6.8699678261008757E-4</v>
      </c>
      <c r="N25" s="60">
        <f t="shared" si="5"/>
        <v>2.7865037696284791E-3</v>
      </c>
      <c r="Q25" s="51"/>
      <c r="R25" s="51"/>
      <c r="U25" s="31">
        <v>0.35</v>
      </c>
      <c r="V25" s="31" t="s">
        <v>95</v>
      </c>
    </row>
    <row r="26" spans="1:22" x14ac:dyDescent="0.3">
      <c r="A26" s="58">
        <v>2251</v>
      </c>
      <c r="B26" s="55" t="s">
        <v>35</v>
      </c>
      <c r="C26" s="60">
        <f t="shared" si="4"/>
        <v>0</v>
      </c>
      <c r="D26" s="60">
        <f>0</f>
        <v>0</v>
      </c>
      <c r="E26" s="60">
        <v>0</v>
      </c>
      <c r="F26" s="60">
        <f t="shared" si="6"/>
        <v>0</v>
      </c>
      <c r="G26" s="60">
        <f t="shared" ref="G26:N34" si="7">$U26/$T$9*G$9</f>
        <v>0</v>
      </c>
      <c r="H26" s="60">
        <f t="shared" si="7"/>
        <v>0</v>
      </c>
      <c r="I26" s="60">
        <f t="shared" si="7"/>
        <v>0</v>
      </c>
      <c r="J26" s="60">
        <f t="shared" si="7"/>
        <v>0</v>
      </c>
      <c r="K26" s="60">
        <f t="shared" si="7"/>
        <v>0</v>
      </c>
      <c r="L26" s="60">
        <f t="shared" si="7"/>
        <v>0</v>
      </c>
      <c r="M26" s="60">
        <f t="shared" si="7"/>
        <v>0</v>
      </c>
      <c r="N26" s="60">
        <f t="shared" si="7"/>
        <v>0</v>
      </c>
      <c r="Q26" s="51"/>
      <c r="R26" s="51"/>
      <c r="U26" s="31">
        <v>0</v>
      </c>
      <c r="V26" s="31" t="s">
        <v>96</v>
      </c>
    </row>
    <row r="27" spans="1:22" x14ac:dyDescent="0.3">
      <c r="A27" s="58">
        <v>2311</v>
      </c>
      <c r="B27" s="55" t="s">
        <v>36</v>
      </c>
      <c r="C27" s="60">
        <f t="shared" si="4"/>
        <v>0.11040021289196933</v>
      </c>
      <c r="D27" s="60">
        <f>U27/T9*D9</f>
        <v>0.2495755766491124</v>
      </c>
      <c r="E27" s="60">
        <f>U27/T9*E9</f>
        <v>7.9013733933059077E-2</v>
      </c>
      <c r="F27" s="60">
        <f t="shared" si="6"/>
        <v>0.43898952347414077</v>
      </c>
      <c r="G27" s="60">
        <f t="shared" si="7"/>
        <v>0.99998703439886027</v>
      </c>
      <c r="H27" s="60">
        <f t="shared" si="7"/>
        <v>1.8929433115105725</v>
      </c>
      <c r="I27" s="60">
        <f t="shared" si="7"/>
        <v>0.71975783538488636</v>
      </c>
      <c r="J27" s="60">
        <f t="shared" si="7"/>
        <v>3.612688181294319</v>
      </c>
      <c r="K27" s="60">
        <f t="shared" si="7"/>
        <v>1.2803931298320874E-2</v>
      </c>
      <c r="L27" s="60">
        <f t="shared" si="7"/>
        <v>1.2450138459814639E-2</v>
      </c>
      <c r="M27" s="60">
        <f t="shared" si="7"/>
        <v>8.2635898708241957E-3</v>
      </c>
      <c r="N27" s="60">
        <f t="shared" si="7"/>
        <v>3.3517659628959709E-2</v>
      </c>
      <c r="Q27" s="51"/>
      <c r="R27" s="51"/>
      <c r="U27" s="31">
        <v>4.21</v>
      </c>
      <c r="V27" s="31" t="s">
        <v>97</v>
      </c>
    </row>
    <row r="28" spans="1:22" x14ac:dyDescent="0.3">
      <c r="A28" s="58">
        <v>2312</v>
      </c>
      <c r="B28" s="55" t="s">
        <v>37</v>
      </c>
      <c r="C28" s="60">
        <f t="shared" si="4"/>
        <v>0.46756194676100066</v>
      </c>
      <c r="D28" s="60">
        <f>U28/T9*D9</f>
        <v>1.0569911001552668</v>
      </c>
      <c r="E28" s="60">
        <f>U28/T9*E9</f>
        <v>0.33463536247658981</v>
      </c>
      <c r="F28" s="60">
        <f t="shared" si="6"/>
        <v>1.8591884093928572</v>
      </c>
      <c r="G28" s="60">
        <f t="shared" si="7"/>
        <v>4.2350994829766444</v>
      </c>
      <c r="H28" s="60">
        <f t="shared" si="7"/>
        <v>8.0169071839034434</v>
      </c>
      <c r="I28" s="60">
        <f t="shared" si="7"/>
        <v>3.048285559361644</v>
      </c>
      <c r="J28" s="60">
        <f t="shared" si="7"/>
        <v>15.300292226241734</v>
      </c>
      <c r="K28" s="60">
        <f t="shared" si="7"/>
        <v>5.4226625902389823E-2</v>
      </c>
      <c r="L28" s="60">
        <f t="shared" si="7"/>
        <v>5.2728258607718521E-2</v>
      </c>
      <c r="M28" s="60">
        <f t="shared" si="7"/>
        <v>3.4997578954108169E-2</v>
      </c>
      <c r="N28" s="60">
        <f t="shared" si="7"/>
        <v>0.1419524634642165</v>
      </c>
      <c r="Q28" s="51"/>
      <c r="R28" s="51"/>
      <c r="U28" s="31">
        <v>17.829999999999998</v>
      </c>
      <c r="V28" s="31" t="s">
        <v>98</v>
      </c>
    </row>
    <row r="29" spans="1:22" x14ac:dyDescent="0.3">
      <c r="A29" s="58">
        <v>2321</v>
      </c>
      <c r="B29" s="55" t="s">
        <v>38</v>
      </c>
      <c r="C29" s="60">
        <f t="shared" si="4"/>
        <v>0</v>
      </c>
      <c r="D29" s="60">
        <v>0</v>
      </c>
      <c r="E29" s="60">
        <v>0</v>
      </c>
      <c r="F29" s="60">
        <f t="shared" si="6"/>
        <v>0</v>
      </c>
      <c r="G29" s="60">
        <f t="shared" si="7"/>
        <v>0</v>
      </c>
      <c r="H29" s="60">
        <f t="shared" si="7"/>
        <v>0</v>
      </c>
      <c r="I29" s="60">
        <f t="shared" si="7"/>
        <v>0</v>
      </c>
      <c r="J29" s="60">
        <f t="shared" si="7"/>
        <v>0</v>
      </c>
      <c r="K29" s="60">
        <f t="shared" si="7"/>
        <v>0</v>
      </c>
      <c r="L29" s="60">
        <f t="shared" si="7"/>
        <v>0</v>
      </c>
      <c r="M29" s="60">
        <f t="shared" si="7"/>
        <v>0</v>
      </c>
      <c r="N29" s="60">
        <f t="shared" si="7"/>
        <v>0</v>
      </c>
      <c r="Q29" s="51"/>
      <c r="R29" s="51"/>
      <c r="U29" s="31">
        <v>0</v>
      </c>
      <c r="V29" s="31" t="s">
        <v>99</v>
      </c>
    </row>
    <row r="30" spans="1:22" x14ac:dyDescent="0.3">
      <c r="A30" s="58">
        <v>2341</v>
      </c>
      <c r="B30" s="55" t="s">
        <v>39</v>
      </c>
      <c r="C30" s="60">
        <f t="shared" si="4"/>
        <v>4.7201991260224412E-3</v>
      </c>
      <c r="D30" s="60">
        <f>U30/T9*D9</f>
        <v>1.0670689737966799E-2</v>
      </c>
      <c r="E30" s="60">
        <f>U30/T9*E9</f>
        <v>3.3782594080642831E-3</v>
      </c>
      <c r="F30" s="60">
        <f t="shared" si="6"/>
        <v>1.8769148272053521E-2</v>
      </c>
      <c r="G30" s="60">
        <f t="shared" si="7"/>
        <v>4.2754790069309934E-2</v>
      </c>
      <c r="H30" s="60">
        <f t="shared" si="7"/>
        <v>8.0933443247482903E-2</v>
      </c>
      <c r="I30" s="60">
        <f t="shared" si="7"/>
        <v>3.0773494149472572E-2</v>
      </c>
      <c r="J30" s="60">
        <f t="shared" si="7"/>
        <v>0.15446172746626541</v>
      </c>
      <c r="K30" s="60">
        <f t="shared" si="7"/>
        <v>5.4743649256478789E-4</v>
      </c>
      <c r="L30" s="60">
        <f t="shared" si="7"/>
        <v>5.3230995790181355E-4</v>
      </c>
      <c r="M30" s="60">
        <f t="shared" si="7"/>
        <v>3.5331263105661646E-4</v>
      </c>
      <c r="N30" s="60">
        <f t="shared" si="7"/>
        <v>1.4330590815232178E-3</v>
      </c>
      <c r="Q30" s="51"/>
      <c r="R30" s="51"/>
      <c r="U30" s="31">
        <v>0.18</v>
      </c>
      <c r="V30" s="31" t="s">
        <v>100</v>
      </c>
    </row>
    <row r="31" spans="1:22" x14ac:dyDescent="0.3">
      <c r="A31" s="58">
        <v>2351</v>
      </c>
      <c r="B31" s="55" t="s">
        <v>40</v>
      </c>
      <c r="C31" s="60">
        <f t="shared" si="4"/>
        <v>0.67656187472988338</v>
      </c>
      <c r="D31" s="60">
        <f>U31/T9*D9</f>
        <v>1.5294655291085748</v>
      </c>
      <c r="E31" s="60">
        <f>U31/T9*E9</f>
        <v>0.48421718182254736</v>
      </c>
      <c r="F31" s="60">
        <f t="shared" si="6"/>
        <v>2.6902445856610058</v>
      </c>
      <c r="G31" s="60">
        <f t="shared" si="7"/>
        <v>6.1281865766010917</v>
      </c>
      <c r="H31" s="60">
        <f t="shared" si="7"/>
        <v>11.600460198805884</v>
      </c>
      <c r="I31" s="60">
        <f t="shared" si="7"/>
        <v>4.4108674947577358</v>
      </c>
      <c r="J31" s="60">
        <f t="shared" si="7"/>
        <v>22.139514270164714</v>
      </c>
      <c r="K31" s="60">
        <f t="shared" si="7"/>
        <v>7.8465897267619614E-2</v>
      </c>
      <c r="L31" s="60">
        <f t="shared" si="7"/>
        <v>7.6297760632593276E-2</v>
      </c>
      <c r="M31" s="60">
        <f t="shared" si="7"/>
        <v>5.0641477118115029E-2</v>
      </c>
      <c r="N31" s="60">
        <f t="shared" si="7"/>
        <v>0.20540513501832791</v>
      </c>
      <c r="Q31" s="51"/>
      <c r="R31" s="51"/>
      <c r="U31" s="31">
        <v>25.8</v>
      </c>
      <c r="V31" s="31" t="s">
        <v>97</v>
      </c>
    </row>
    <row r="32" spans="1:22" x14ac:dyDescent="0.3">
      <c r="A32" s="58">
        <v>2352</v>
      </c>
      <c r="B32" s="55" t="s">
        <v>41</v>
      </c>
      <c r="C32" s="60">
        <f t="shared" si="4"/>
        <v>0.374206897379668</v>
      </c>
      <c r="D32" s="60">
        <f>U32/T9*D9</f>
        <v>0.84594856978214583</v>
      </c>
      <c r="E32" s="60">
        <f>U32/T9*E9</f>
        <v>0.26782089862820735</v>
      </c>
      <c r="F32" s="60">
        <f t="shared" si="6"/>
        <v>1.4879763657900211</v>
      </c>
      <c r="G32" s="60">
        <f t="shared" si="7"/>
        <v>3.3895047460502932</v>
      </c>
      <c r="H32" s="60">
        <f t="shared" si="7"/>
        <v>6.4162235285643394</v>
      </c>
      <c r="I32" s="60">
        <f t="shared" si="7"/>
        <v>2.4396542306276312</v>
      </c>
      <c r="J32" s="60">
        <f t="shared" si="7"/>
        <v>12.245382505242265</v>
      </c>
      <c r="K32" s="60">
        <f t="shared" si="7"/>
        <v>4.3399548604997354E-2</v>
      </c>
      <c r="L32" s="60">
        <f t="shared" si="7"/>
        <v>4.2200350551438219E-2</v>
      </c>
      <c r="M32" s="60">
        <f t="shared" si="7"/>
        <v>2.8009840250988429E-2</v>
      </c>
      <c r="N32" s="60">
        <f t="shared" si="7"/>
        <v>0.113609739407424</v>
      </c>
      <c r="Q32" s="51"/>
      <c r="R32" s="51"/>
      <c r="U32" s="31">
        <v>14.27</v>
      </c>
      <c r="V32" s="31" t="s">
        <v>98</v>
      </c>
    </row>
    <row r="33" spans="1:22" x14ac:dyDescent="0.3">
      <c r="A33" s="58">
        <v>2362</v>
      </c>
      <c r="B33" s="55" t="s">
        <v>42</v>
      </c>
      <c r="C33" s="60">
        <f t="shared" si="4"/>
        <v>1.3001526259344036</v>
      </c>
      <c r="D33" s="60">
        <f>U33/T9*D9</f>
        <v>2.9391822067132995</v>
      </c>
      <c r="E33" s="60">
        <f>U33/T9*E9</f>
        <v>0.93052278584348436</v>
      </c>
      <c r="F33" s="60">
        <f t="shared" si="6"/>
        <v>5.1698576184911875</v>
      </c>
      <c r="G33" s="60">
        <f t="shared" si="7"/>
        <v>11.776569397979925</v>
      </c>
      <c r="H33" s="60">
        <f t="shared" si="7"/>
        <v>22.292667312278901</v>
      </c>
      <c r="I33" s="60">
        <f t="shared" si="7"/>
        <v>8.4763879996158344</v>
      </c>
      <c r="J33" s="60">
        <f t="shared" si="7"/>
        <v>42.545624709874666</v>
      </c>
      <c r="K33" s="60">
        <f t="shared" si="7"/>
        <v>0.15078834056312326</v>
      </c>
      <c r="L33" s="60">
        <f t="shared" si="7"/>
        <v>0.14662182062651063</v>
      </c>
      <c r="M33" s="60">
        <f t="shared" si="7"/>
        <v>9.7318001376594687E-2</v>
      </c>
      <c r="N33" s="60">
        <f t="shared" si="7"/>
        <v>0.39472816256622856</v>
      </c>
      <c r="Q33" s="51"/>
      <c r="R33" s="51"/>
      <c r="U33" s="31">
        <v>49.58</v>
      </c>
      <c r="V33" s="31" t="s">
        <v>101</v>
      </c>
    </row>
    <row r="34" spans="1:22" x14ac:dyDescent="0.3">
      <c r="A34" s="58" t="s">
        <v>13</v>
      </c>
      <c r="B34" s="55" t="s">
        <v>43</v>
      </c>
      <c r="C34" s="60">
        <f t="shared" si="4"/>
        <v>0.96501848798681023</v>
      </c>
      <c r="D34" s="60">
        <v>0</v>
      </c>
      <c r="E34" s="60">
        <v>0</v>
      </c>
      <c r="F34" s="60">
        <f t="shared" si="6"/>
        <v>0.96501848798681023</v>
      </c>
      <c r="G34" s="60">
        <f t="shared" si="7"/>
        <v>8.7409793030589196</v>
      </c>
      <c r="H34" s="60">
        <f t="shared" si="7"/>
        <v>16.546392841707615</v>
      </c>
      <c r="I34" s="60">
        <f t="shared" si="7"/>
        <v>6.2914699150032813</v>
      </c>
      <c r="J34" s="60">
        <f t="shared" si="7"/>
        <v>31.578842059769819</v>
      </c>
      <c r="K34" s="60">
        <f t="shared" si="7"/>
        <v>0.1119203495910233</v>
      </c>
      <c r="L34" s="60">
        <f t="shared" si="7"/>
        <v>0.10882781361548187</v>
      </c>
      <c r="M34" s="60">
        <f t="shared" si="7"/>
        <v>7.223280457157491E-2</v>
      </c>
      <c r="N34" s="60">
        <f t="shared" si="7"/>
        <v>0.29298096777808008</v>
      </c>
      <c r="Q34" s="51"/>
      <c r="R34" s="51"/>
      <c r="U34" s="31">
        <v>36.799999999999997</v>
      </c>
      <c r="V34" s="31" t="s">
        <v>43</v>
      </c>
    </row>
    <row r="35" spans="1:22" x14ac:dyDescent="0.3">
      <c r="A35" s="56"/>
      <c r="B35" s="61" t="s">
        <v>44</v>
      </c>
      <c r="C35" s="60">
        <f>SUM(C16:C34)</f>
        <v>53.184415687737093</v>
      </c>
      <c r="D35" s="60">
        <f t="shared" ref="D35:N35" si="8">SUM(D16:D34)</f>
        <v>118.04946591135371</v>
      </c>
      <c r="E35" s="60">
        <f t="shared" si="8"/>
        <v>37.373565216973731</v>
      </c>
      <c r="F35" s="60">
        <f t="shared" si="8"/>
        <v>208.60744681606448</v>
      </c>
      <c r="G35" s="60">
        <f t="shared" si="8"/>
        <v>481.73572067165014</v>
      </c>
      <c r="H35" s="60">
        <f t="shared" si="8"/>
        <v>911.91023382549258</v>
      </c>
      <c r="I35" s="60">
        <f t="shared" si="8"/>
        <v>346.73755519904597</v>
      </c>
      <c r="J35" s="60">
        <f t="shared" si="8"/>
        <v>1740.3835096961886</v>
      </c>
      <c r="K35" s="60">
        <f t="shared" si="8"/>
        <v>6.1681910457317564</v>
      </c>
      <c r="L35" s="60">
        <f t="shared" si="8"/>
        <v>5.9977541878891669</v>
      </c>
      <c r="M35" s="60">
        <f t="shared" si="8"/>
        <v>3.9809180367518771</v>
      </c>
      <c r="N35" s="60">
        <f t="shared" si="8"/>
        <v>16.146863270372798</v>
      </c>
    </row>
    <row r="36" spans="1:22" ht="15.75" customHeight="1" x14ac:dyDescent="0.3">
      <c r="A36" s="55"/>
      <c r="B36" s="55" t="s">
        <v>45</v>
      </c>
      <c r="C36" s="60">
        <f>C14+C35</f>
        <v>298.89885975804862</v>
      </c>
      <c r="D36" s="60">
        <f t="shared" ref="D36:N36" si="9">D14+D35</f>
        <v>673.52234466270352</v>
      </c>
      <c r="E36" s="60">
        <f t="shared" si="9"/>
        <v>213.23206402511676</v>
      </c>
      <c r="F36" s="60">
        <f t="shared" si="9"/>
        <v>1185.6532684458689</v>
      </c>
      <c r="G36" s="60">
        <f t="shared" si="9"/>
        <v>2707.3768838392698</v>
      </c>
      <c r="H36" s="60">
        <f t="shared" si="9"/>
        <v>5124.9774124148616</v>
      </c>
      <c r="I36" s="60">
        <f t="shared" si="9"/>
        <v>1948.6809913037132</v>
      </c>
      <c r="J36" s="60">
        <f t="shared" si="9"/>
        <v>9781.0352875578446</v>
      </c>
      <c r="K36" s="60">
        <f t="shared" si="9"/>
        <v>34.665517078607806</v>
      </c>
      <c r="L36" s="60">
        <f t="shared" si="9"/>
        <v>33.707654106698904</v>
      </c>
      <c r="M36" s="60">
        <f t="shared" si="9"/>
        <v>22.372942272443591</v>
      </c>
      <c r="N36" s="60">
        <f t="shared" si="9"/>
        <v>90.746113457750312</v>
      </c>
    </row>
    <row r="37" spans="1:22" ht="39.75" customHeight="1" x14ac:dyDescent="0.3">
      <c r="A37" s="55"/>
      <c r="B37" s="55" t="s">
        <v>46</v>
      </c>
      <c r="C37" s="62">
        <v>344</v>
      </c>
      <c r="D37" s="62">
        <v>346</v>
      </c>
      <c r="E37" s="62">
        <v>346</v>
      </c>
      <c r="F37" s="62" t="s">
        <v>47</v>
      </c>
      <c r="G37" s="62">
        <v>2158</v>
      </c>
      <c r="H37" s="62">
        <v>2162</v>
      </c>
      <c r="I37" s="62">
        <v>2134</v>
      </c>
      <c r="J37" s="62" t="s">
        <v>47</v>
      </c>
      <c r="K37" s="81">
        <v>9</v>
      </c>
      <c r="L37" s="81">
        <v>9</v>
      </c>
      <c r="M37" s="81">
        <v>9</v>
      </c>
      <c r="N37" s="81" t="s">
        <v>47</v>
      </c>
    </row>
    <row r="38" spans="1:22" ht="49.5" customHeight="1" x14ac:dyDescent="0.3">
      <c r="A38" s="55"/>
      <c r="B38" s="55" t="s">
        <v>123</v>
      </c>
      <c r="C38" s="60">
        <f>C14/C37</f>
        <v>0.7142861746229987</v>
      </c>
      <c r="D38" s="60">
        <f t="shared" ref="D38:E38" si="10">D14/D37</f>
        <v>1.6054129443680629</v>
      </c>
      <c r="E38" s="60">
        <f t="shared" si="10"/>
        <v>0.50826155724896827</v>
      </c>
      <c r="F38" s="60">
        <f>SUM(C38:E38)</f>
        <v>2.8279606762400298</v>
      </c>
      <c r="G38" s="60">
        <f>G14/G37</f>
        <v>1.0313443758886096</v>
      </c>
      <c r="H38" s="63">
        <f t="shared" ref="H38:I38" si="11">H14/H37</f>
        <v>1.9486897218267203</v>
      </c>
      <c r="I38" s="60">
        <f t="shared" si="11"/>
        <v>0.75067639929928176</v>
      </c>
      <c r="J38" s="60">
        <f>SUM(G38:I38)</f>
        <v>3.7307104970146119</v>
      </c>
      <c r="K38" s="60">
        <f>K14/K37</f>
        <v>3.1663695592084502</v>
      </c>
      <c r="L38" s="60">
        <f t="shared" ref="L38:M38" si="12">L14/L37</f>
        <v>3.0788777687566378</v>
      </c>
      <c r="M38" s="60">
        <f t="shared" si="12"/>
        <v>2.0435582484101906</v>
      </c>
      <c r="N38" s="60">
        <f>SUM(K38:M38)</f>
        <v>8.2888055763752782</v>
      </c>
    </row>
    <row r="39" spans="1:22" ht="57" customHeight="1" x14ac:dyDescent="0.3">
      <c r="A39" s="55"/>
      <c r="B39" s="55" t="s">
        <v>125</v>
      </c>
      <c r="C39" s="59">
        <f>C9/C37</f>
        <v>0.38098837209302328</v>
      </c>
      <c r="D39" s="59">
        <f>D9/D37</f>
        <v>0.85630057803468196</v>
      </c>
      <c r="E39" s="59">
        <f>E9/E37</f>
        <v>0.27109826589595376</v>
      </c>
      <c r="F39" s="59">
        <f>SUM(C39:E39)</f>
        <v>1.5083872160236591</v>
      </c>
      <c r="G39" s="59">
        <f>G9/G37</f>
        <v>0.55010194624652453</v>
      </c>
      <c r="H39" s="59">
        <f>H9/H37</f>
        <v>1.0393987049028677</v>
      </c>
      <c r="I39" s="59">
        <f>I9/I37</f>
        <v>0.40039831302717904</v>
      </c>
      <c r="J39" s="59">
        <f>G39+H39+I39</f>
        <v>1.9898989641765714</v>
      </c>
      <c r="K39" s="59">
        <f>K9/K37</f>
        <v>1.6888888888888889</v>
      </c>
      <c r="L39" s="59">
        <f>L9/L37</f>
        <v>1.6422222222222222</v>
      </c>
      <c r="M39" s="59">
        <f>M9/M37</f>
        <v>1.0900000000000001</v>
      </c>
      <c r="N39" s="59">
        <f>SUM(K39:M39)</f>
        <v>4.4211111111111112</v>
      </c>
    </row>
  </sheetData>
  <mergeCells count="5">
    <mergeCell ref="G1:N1"/>
    <mergeCell ref="C6:F6"/>
    <mergeCell ref="G6:J6"/>
    <mergeCell ref="K6:N6"/>
    <mergeCell ref="A6:B6"/>
  </mergeCells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523B-734F-4B16-A43D-409E04418891}">
  <sheetPr>
    <pageSetUpPr fitToPage="1"/>
  </sheetPr>
  <dimension ref="A1:AB40"/>
  <sheetViews>
    <sheetView topLeftCell="A10" zoomScale="112" zoomScaleNormal="112" workbookViewId="0">
      <selection activeCell="J1" sqref="J1:R1"/>
    </sheetView>
  </sheetViews>
  <sheetFormatPr defaultColWidth="9.109375" defaultRowHeight="15.6" x14ac:dyDescent="0.3"/>
  <cols>
    <col min="1" max="1" width="10.6640625" style="76" customWidth="1"/>
    <col min="2" max="2" width="43" style="79" customWidth="1"/>
    <col min="3" max="10" width="10.6640625" style="76" customWidth="1"/>
    <col min="11" max="11" width="10.33203125" style="76" customWidth="1"/>
    <col min="12" max="18" width="9.109375" style="76"/>
    <col min="19" max="19" width="9.109375" style="73" hidden="1" customWidth="1"/>
    <col min="20" max="20" width="12.109375" style="73" hidden="1" customWidth="1"/>
    <col min="21" max="21" width="11" style="73" hidden="1" customWidth="1"/>
    <col min="22" max="22" width="31.88671875" style="73" hidden="1" customWidth="1"/>
    <col min="23" max="28" width="9.109375" style="75"/>
    <col min="29" max="16384" width="9.109375" style="76"/>
  </cols>
  <sheetData>
    <row r="1" spans="1:28" s="70" customFormat="1" ht="47.25" customHeight="1" x14ac:dyDescent="0.3">
      <c r="A1" s="66"/>
      <c r="B1" s="66"/>
      <c r="C1" s="66"/>
      <c r="D1" s="66"/>
      <c r="E1" s="66"/>
      <c r="F1" s="66"/>
      <c r="G1" s="66"/>
      <c r="H1" s="66"/>
      <c r="I1" s="66"/>
      <c r="J1" s="14" t="s">
        <v>133</v>
      </c>
      <c r="K1" s="14"/>
      <c r="L1" s="14"/>
      <c r="M1" s="14"/>
      <c r="N1" s="14"/>
      <c r="O1" s="14"/>
      <c r="P1" s="14"/>
      <c r="Q1" s="14"/>
      <c r="R1" s="14"/>
      <c r="S1" s="68"/>
      <c r="T1" s="68"/>
      <c r="U1" s="68"/>
      <c r="V1" s="68"/>
      <c r="W1" s="69"/>
      <c r="X1" s="69"/>
      <c r="Y1" s="69"/>
      <c r="Z1" s="69"/>
      <c r="AA1" s="69"/>
      <c r="AB1" s="69"/>
    </row>
    <row r="2" spans="1:28" s="70" customFormat="1" x14ac:dyDescent="0.3">
      <c r="A2" s="65"/>
      <c r="B2" s="65"/>
      <c r="C2" s="71"/>
      <c r="D2" s="71"/>
      <c r="E2" s="71"/>
      <c r="F2" s="82"/>
      <c r="G2" s="82"/>
      <c r="H2" s="82"/>
      <c r="I2" s="82"/>
      <c r="J2" s="82"/>
      <c r="K2" s="82"/>
      <c r="L2" s="82"/>
      <c r="S2" s="68"/>
      <c r="T2" s="68"/>
      <c r="U2" s="68"/>
      <c r="V2" s="68"/>
      <c r="W2" s="69"/>
      <c r="X2" s="69"/>
      <c r="Y2" s="69"/>
      <c r="Z2" s="69"/>
      <c r="AA2" s="69"/>
      <c r="AB2" s="69"/>
    </row>
    <row r="3" spans="1:28" s="70" customFormat="1" x14ac:dyDescent="0.3">
      <c r="A3" s="90" t="s">
        <v>14</v>
      </c>
      <c r="B3" s="65"/>
      <c r="C3" s="71"/>
      <c r="D3" s="71"/>
      <c r="E3" s="71"/>
      <c r="F3" s="91"/>
      <c r="G3" s="71"/>
      <c r="H3" s="71"/>
      <c r="I3" s="71"/>
      <c r="J3" s="91"/>
      <c r="S3" s="68"/>
      <c r="T3" s="68"/>
      <c r="U3" s="68"/>
      <c r="V3" s="68"/>
      <c r="W3" s="69"/>
      <c r="X3" s="69"/>
      <c r="Y3" s="69"/>
      <c r="Z3" s="69"/>
      <c r="AA3" s="69"/>
      <c r="AB3" s="69"/>
    </row>
    <row r="4" spans="1:28" s="70" customFormat="1" x14ac:dyDescent="0.3">
      <c r="A4" s="16" t="s">
        <v>126</v>
      </c>
      <c r="B4" s="66"/>
      <c r="C4" s="65"/>
      <c r="D4" s="71"/>
      <c r="E4" s="71"/>
      <c r="F4" s="91"/>
      <c r="G4" s="71"/>
      <c r="H4" s="71"/>
      <c r="I4" s="71"/>
      <c r="J4" s="71"/>
      <c r="S4" s="68"/>
      <c r="T4" s="68"/>
      <c r="U4" s="68"/>
      <c r="V4" s="68"/>
      <c r="W4" s="69"/>
      <c r="X4" s="69"/>
      <c r="Y4" s="69"/>
      <c r="Z4" s="69"/>
      <c r="AA4" s="69"/>
      <c r="AB4" s="69"/>
    </row>
    <row r="6" spans="1:28" ht="31.5" customHeight="1" x14ac:dyDescent="0.3">
      <c r="A6" s="9" t="s">
        <v>9</v>
      </c>
      <c r="B6" s="8"/>
      <c r="C6" s="11" t="s">
        <v>0</v>
      </c>
      <c r="D6" s="11"/>
      <c r="E6" s="11"/>
      <c r="F6" s="11"/>
      <c r="G6" s="11" t="s">
        <v>55</v>
      </c>
      <c r="H6" s="11"/>
      <c r="I6" s="11"/>
      <c r="J6" s="11"/>
      <c r="K6" s="11" t="s">
        <v>56</v>
      </c>
      <c r="L6" s="11"/>
      <c r="M6" s="11"/>
      <c r="N6" s="11"/>
      <c r="O6" s="10" t="s">
        <v>57</v>
      </c>
      <c r="P6" s="10"/>
      <c r="Q6" s="10"/>
      <c r="R6" s="10"/>
      <c r="T6" s="74" t="s">
        <v>79</v>
      </c>
      <c r="U6" s="74" t="s">
        <v>81</v>
      </c>
    </row>
    <row r="7" spans="1:28" ht="31.2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  <c r="O7" s="57" t="s">
        <v>1</v>
      </c>
      <c r="P7" s="57" t="s">
        <v>2</v>
      </c>
      <c r="Q7" s="57" t="s">
        <v>3</v>
      </c>
      <c r="R7" s="57" t="s">
        <v>4</v>
      </c>
    </row>
    <row r="8" spans="1:28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28" x14ac:dyDescent="0.3">
      <c r="A9" s="58">
        <v>2363</v>
      </c>
      <c r="B9" s="55" t="s">
        <v>18</v>
      </c>
      <c r="C9" s="59">
        <v>376.26</v>
      </c>
      <c r="D9" s="59">
        <v>872.83</v>
      </c>
      <c r="E9" s="59">
        <v>414.81</v>
      </c>
      <c r="F9" s="59">
        <f>C9+D9+E9</f>
        <v>1663.9</v>
      </c>
      <c r="G9" s="59">
        <v>10.28</v>
      </c>
      <c r="H9" s="59">
        <v>16.18</v>
      </c>
      <c r="I9" s="59">
        <v>8.7200000000000006</v>
      </c>
      <c r="J9" s="59">
        <f>SUM(G9:I9)</f>
        <v>35.18</v>
      </c>
      <c r="K9" s="59">
        <v>10.28</v>
      </c>
      <c r="L9" s="59">
        <v>17.97</v>
      </c>
      <c r="M9" s="59">
        <v>10.08</v>
      </c>
      <c r="N9" s="59">
        <f>SUM(K9:M9)</f>
        <v>38.33</v>
      </c>
      <c r="O9" s="59">
        <v>12.37</v>
      </c>
      <c r="P9" s="59">
        <v>25.45</v>
      </c>
      <c r="Q9" s="59">
        <v>14.18</v>
      </c>
      <c r="R9" s="59">
        <f>SUM(O9:Q9)</f>
        <v>52</v>
      </c>
      <c r="T9" s="77">
        <v>1950.3</v>
      </c>
    </row>
    <row r="10" spans="1:28" x14ac:dyDescent="0.3">
      <c r="A10" s="58">
        <v>1100</v>
      </c>
      <c r="B10" s="55" t="s">
        <v>19</v>
      </c>
      <c r="C10" s="60">
        <f>U10/T9*C9</f>
        <v>381.989847715736</v>
      </c>
      <c r="D10" s="60">
        <f>U10/T9*D9</f>
        <v>886.12182741116749</v>
      </c>
      <c r="E10" s="60">
        <f>U10/T9*E9</f>
        <v>421.12690355329948</v>
      </c>
      <c r="F10" s="60">
        <f>SUM(C10:E10)</f>
        <v>1689.2385786802029</v>
      </c>
      <c r="G10" s="60">
        <f>U10/T9*G9</f>
        <v>10.436548223350252</v>
      </c>
      <c r="H10" s="60">
        <f>U10/T9*H9</f>
        <v>16.426395939086294</v>
      </c>
      <c r="I10" s="60">
        <f>U10/T9*I9</f>
        <v>8.8527918781725887</v>
      </c>
      <c r="J10" s="60">
        <f>SUM(G10:I10)</f>
        <v>35.715736040609137</v>
      </c>
      <c r="K10" s="59">
        <f>U10/T9*K9</f>
        <v>10.436548223350252</v>
      </c>
      <c r="L10" s="59">
        <f>U10/T9*L9</f>
        <v>18.243654822335024</v>
      </c>
      <c r="M10" s="59">
        <f>U10/T9*M9</f>
        <v>10.233502538071065</v>
      </c>
      <c r="N10" s="59">
        <f>SUM(K10:M10)</f>
        <v>38.913705583756339</v>
      </c>
      <c r="O10" s="59">
        <f>U10/T9*O9</f>
        <v>12.558375634517764</v>
      </c>
      <c r="P10" s="59">
        <f>U10/T9*P9</f>
        <v>25.837563451776646</v>
      </c>
      <c r="Q10" s="59">
        <f>U10/T9*Q9</f>
        <v>14.395939086294415</v>
      </c>
      <c r="R10" s="59">
        <f>SUM(O10:Q10)</f>
        <v>52.791878172588824</v>
      </c>
      <c r="U10" s="77">
        <v>1980</v>
      </c>
    </row>
    <row r="11" spans="1:28" ht="46.8" x14ac:dyDescent="0.3">
      <c r="A11" s="58">
        <v>1200</v>
      </c>
      <c r="B11" s="55" t="s">
        <v>20</v>
      </c>
      <c r="C11" s="60">
        <f>U11/T9*C9</f>
        <v>90.111405076142134</v>
      </c>
      <c r="D11" s="60">
        <f>U11/T9*D9</f>
        <v>209.03613908629444</v>
      </c>
      <c r="E11" s="60">
        <f>U11/T9*E9</f>
        <v>99.343836548223351</v>
      </c>
      <c r="F11" s="60">
        <f>SUM(C11:E11)</f>
        <v>398.49138071065994</v>
      </c>
      <c r="G11" s="60">
        <f>U11/T9*G9</f>
        <v>2.4619817258883248</v>
      </c>
      <c r="H11" s="60">
        <f>U11/T9*H9</f>
        <v>3.874986802030457</v>
      </c>
      <c r="I11" s="60">
        <f>U11/T9*I9</f>
        <v>2.088373604060914</v>
      </c>
      <c r="J11" s="60">
        <f>SUM(G11:I11)</f>
        <v>8.4253421319796953</v>
      </c>
      <c r="K11" s="59">
        <f>U11/T9*K9</f>
        <v>2.4619817258883248</v>
      </c>
      <c r="L11" s="59">
        <f>U11/T9*L9</f>
        <v>4.3036781725888327</v>
      </c>
      <c r="M11" s="59">
        <f>U11/T9*M9</f>
        <v>2.4140832487309645</v>
      </c>
      <c r="N11" s="59">
        <f>SUM(K11:M11)</f>
        <v>9.1797431472081215</v>
      </c>
      <c r="O11" s="59">
        <f>U11/T9*O9</f>
        <v>2.9625208121827411</v>
      </c>
      <c r="P11" s="59">
        <f>U11/T9*P9</f>
        <v>6.0950812182741121</v>
      </c>
      <c r="Q11" s="59">
        <f>U11/T9*Q9</f>
        <v>3.3960020304568528</v>
      </c>
      <c r="R11" s="59">
        <f>SUM(O11:Q11)</f>
        <v>12.453604060913705</v>
      </c>
      <c r="U11" s="73">
        <f>U10*0.2359</f>
        <v>467.08199999999999</v>
      </c>
    </row>
    <row r="12" spans="1:28" x14ac:dyDescent="0.3">
      <c r="A12" s="58">
        <v>2222</v>
      </c>
      <c r="B12" s="55" t="s">
        <v>21</v>
      </c>
      <c r="C12" s="60">
        <f>U12/T9*C9</f>
        <v>71.102201199815411</v>
      </c>
      <c r="D12" s="60">
        <f>U12/T9*D9</f>
        <v>164.93949469312415</v>
      </c>
      <c r="E12" s="60">
        <f>U12/T9*E9</f>
        <v>78.387030456852798</v>
      </c>
      <c r="F12" s="60">
        <f t="shared" ref="F12:F13" si="0">SUM(C12:E12)</f>
        <v>314.42872634979238</v>
      </c>
      <c r="G12" s="60">
        <f>U12/T9*G9</f>
        <v>1.9426211352099676</v>
      </c>
      <c r="H12" s="60">
        <f>U12/T9*H9</f>
        <v>3.0575496077526534</v>
      </c>
      <c r="I12" s="60">
        <f>U12/T9*I9</f>
        <v>1.6478264882325797</v>
      </c>
      <c r="J12" s="60">
        <f t="shared" ref="J12:J13" si="1">SUM(G12:I12)</f>
        <v>6.6479972311952009</v>
      </c>
      <c r="K12" s="59">
        <f>U12/T9*K9</f>
        <v>1.9426211352099676</v>
      </c>
      <c r="L12" s="59">
        <f>U12/T9*L9</f>
        <v>3.3958075680664512</v>
      </c>
      <c r="M12" s="59">
        <f>U12/T9*M9</f>
        <v>1.9048269497000463</v>
      </c>
      <c r="N12" s="59">
        <f t="shared" ref="N12:N13" si="2">SUM(K12:M12)</f>
        <v>7.2432556529764653</v>
      </c>
      <c r="O12" s="59">
        <f>U12/T9*O9</f>
        <v>2.337570373788648</v>
      </c>
      <c r="P12" s="59">
        <f>U12/T9*P9</f>
        <v>4.8093101061375174</v>
      </c>
      <c r="Q12" s="59">
        <f>U12/T9*Q9</f>
        <v>2.6796077526534381</v>
      </c>
      <c r="R12" s="59">
        <f t="shared" ref="R12:R13" si="3">SUM(O12:Q12)</f>
        <v>9.826488232579603</v>
      </c>
      <c r="U12" s="73">
        <f>2835*0.13</f>
        <v>368.55</v>
      </c>
      <c r="V12" s="68"/>
    </row>
    <row r="13" spans="1:28" x14ac:dyDescent="0.3">
      <c r="A13" s="58">
        <v>2223</v>
      </c>
      <c r="B13" s="55" t="s">
        <v>22</v>
      </c>
      <c r="C13" s="60">
        <f>U13/T9*C9</f>
        <v>107.7944482387325</v>
      </c>
      <c r="D13" s="60">
        <f>U13/T9*D9</f>
        <v>250.05641911500797</v>
      </c>
      <c r="E13" s="60">
        <f>U13/T9*E9</f>
        <v>118.83860913705584</v>
      </c>
      <c r="F13" s="60">
        <f t="shared" si="0"/>
        <v>476.68947649079632</v>
      </c>
      <c r="G13" s="60">
        <f>U13/T9*G9</f>
        <v>2.9451095728862224</v>
      </c>
      <c r="H13" s="60">
        <f>U13/T9*H9</f>
        <v>4.6353961954571092</v>
      </c>
      <c r="I13" s="60">
        <f>U13/T9*I9</f>
        <v>2.4981863303081577</v>
      </c>
      <c r="J13" s="60">
        <f t="shared" si="1"/>
        <v>10.078692098651489</v>
      </c>
      <c r="K13" s="59">
        <f>U13/T9*K9</f>
        <v>2.9451095728862224</v>
      </c>
      <c r="L13" s="59">
        <f>U13/T9*L9</f>
        <v>5.1482119673896323</v>
      </c>
      <c r="M13" s="59">
        <f>U13/T9*M9</f>
        <v>2.8878117212736503</v>
      </c>
      <c r="N13" s="59">
        <f t="shared" si="2"/>
        <v>10.981133261549505</v>
      </c>
      <c r="O13" s="59">
        <f>U13/T9*O9</f>
        <v>3.5438721222376044</v>
      </c>
      <c r="P13" s="59">
        <f>U13/T9*P9</f>
        <v>7.2911516176998408</v>
      </c>
      <c r="Q13" s="59">
        <f>U13/T9*Q9</f>
        <v>4.0624176793313849</v>
      </c>
      <c r="R13" s="59">
        <f t="shared" si="3"/>
        <v>14.89744141926883</v>
      </c>
      <c r="U13" s="73">
        <f>4298*0.13</f>
        <v>558.74</v>
      </c>
      <c r="V13" s="68"/>
    </row>
    <row r="14" spans="1:28" x14ac:dyDescent="0.3">
      <c r="A14" s="56"/>
      <c r="B14" s="61" t="s">
        <v>23</v>
      </c>
      <c r="C14" s="60">
        <f>SUM(C9:C13)</f>
        <v>1027.257902230426</v>
      </c>
      <c r="D14" s="60">
        <f t="shared" ref="D14:R14" si="4">SUM(D9:D13)</f>
        <v>2382.9838803055941</v>
      </c>
      <c r="E14" s="60">
        <f t="shared" si="4"/>
        <v>1132.5063796954316</v>
      </c>
      <c r="F14" s="60">
        <f t="shared" si="4"/>
        <v>4542.7481622314517</v>
      </c>
      <c r="G14" s="60">
        <f t="shared" si="4"/>
        <v>28.066260657334766</v>
      </c>
      <c r="H14" s="60">
        <f t="shared" si="4"/>
        <v>44.174328544326521</v>
      </c>
      <c r="I14" s="60">
        <f t="shared" si="4"/>
        <v>23.807178300774236</v>
      </c>
      <c r="J14" s="60">
        <f t="shared" si="4"/>
        <v>96.047767502435519</v>
      </c>
      <c r="K14" s="60">
        <f t="shared" si="4"/>
        <v>28.066260657334766</v>
      </c>
      <c r="L14" s="60">
        <f t="shared" si="4"/>
        <v>49.061352530379942</v>
      </c>
      <c r="M14" s="60">
        <f t="shared" si="4"/>
        <v>27.520224457775722</v>
      </c>
      <c r="N14" s="60">
        <f t="shared" si="4"/>
        <v>104.64783764549043</v>
      </c>
      <c r="O14" s="60">
        <f t="shared" si="4"/>
        <v>33.772338942726755</v>
      </c>
      <c r="P14" s="60">
        <f t="shared" si="4"/>
        <v>69.483106393888121</v>
      </c>
      <c r="Q14" s="60">
        <f t="shared" si="4"/>
        <v>38.713966548736089</v>
      </c>
      <c r="R14" s="60">
        <f t="shared" si="4"/>
        <v>141.96941188535095</v>
      </c>
      <c r="U14" s="92">
        <f>SUM(U10:U13)</f>
        <v>3374.3720000000003</v>
      </c>
    </row>
    <row r="15" spans="1:28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  <c r="O15" s="59"/>
      <c r="P15" s="59"/>
      <c r="Q15" s="59"/>
      <c r="R15" s="59"/>
    </row>
    <row r="16" spans="1:28" x14ac:dyDescent="0.3">
      <c r="A16" s="58">
        <v>1100</v>
      </c>
      <c r="B16" s="55" t="s">
        <v>25</v>
      </c>
      <c r="C16" s="60">
        <f t="shared" ref="C16:R25" si="5">$U16/$T$9*C$9</f>
        <v>192.69265651438241</v>
      </c>
      <c r="D16" s="60">
        <f t="shared" si="5"/>
        <v>446.99923293852231</v>
      </c>
      <c r="E16" s="60">
        <f t="shared" si="5"/>
        <v>212.43512690355331</v>
      </c>
      <c r="F16" s="60">
        <f t="shared" si="5"/>
        <v>852.12701635645806</v>
      </c>
      <c r="G16" s="60">
        <f t="shared" si="5"/>
        <v>5.2646587704455721</v>
      </c>
      <c r="H16" s="60">
        <f t="shared" si="5"/>
        <v>8.2862041737168646</v>
      </c>
      <c r="I16" s="60">
        <f t="shared" si="5"/>
        <v>4.4657416807670618</v>
      </c>
      <c r="J16" s="60">
        <f t="shared" si="5"/>
        <v>18.016604624929499</v>
      </c>
      <c r="K16" s="60">
        <f t="shared" si="5"/>
        <v>5.2646587704455721</v>
      </c>
      <c r="L16" s="60">
        <f t="shared" si="5"/>
        <v>9.2029103214890018</v>
      </c>
      <c r="M16" s="60">
        <f t="shared" si="5"/>
        <v>5.1622335025380712</v>
      </c>
      <c r="N16" s="60">
        <f t="shared" si="5"/>
        <v>19.629802594472647</v>
      </c>
      <c r="O16" s="60">
        <f t="shared" si="5"/>
        <v>6.3350028200789623</v>
      </c>
      <c r="P16" s="60">
        <f t="shared" si="5"/>
        <v>13.033615341229554</v>
      </c>
      <c r="Q16" s="60">
        <f t="shared" si="5"/>
        <v>7.26195149464185</v>
      </c>
      <c r="R16" s="60">
        <f t="shared" si="5"/>
        <v>26.630569655950367</v>
      </c>
      <c r="U16" s="68">
        <v>998.8</v>
      </c>
      <c r="V16" s="68"/>
    </row>
    <row r="17" spans="1:22" ht="46.8" x14ac:dyDescent="0.3">
      <c r="A17" s="58">
        <v>1200</v>
      </c>
      <c r="B17" s="55" t="s">
        <v>26</v>
      </c>
      <c r="C17" s="60">
        <f t="shared" si="5"/>
        <v>45.456197671742807</v>
      </c>
      <c r="D17" s="60">
        <f t="shared" si="5"/>
        <v>105.44711905019741</v>
      </c>
      <c r="E17" s="60">
        <f t="shared" si="5"/>
        <v>50.113446436548223</v>
      </c>
      <c r="F17" s="60">
        <f t="shared" si="5"/>
        <v>201.01676315848846</v>
      </c>
      <c r="G17" s="60">
        <f t="shared" si="5"/>
        <v>1.2419330039481105</v>
      </c>
      <c r="H17" s="60">
        <f t="shared" si="5"/>
        <v>1.9547155645798082</v>
      </c>
      <c r="I17" s="60">
        <f t="shared" si="5"/>
        <v>1.0534684624929498</v>
      </c>
      <c r="J17" s="60">
        <f t="shared" si="5"/>
        <v>4.2501170310208689</v>
      </c>
      <c r="K17" s="60">
        <f t="shared" si="5"/>
        <v>1.2419330039481105</v>
      </c>
      <c r="L17" s="60">
        <f t="shared" si="5"/>
        <v>2.1709665448392554</v>
      </c>
      <c r="M17" s="60">
        <f t="shared" si="5"/>
        <v>1.2177708832487311</v>
      </c>
      <c r="N17" s="60">
        <f t="shared" si="5"/>
        <v>4.630670432036097</v>
      </c>
      <c r="O17" s="60">
        <f t="shared" si="5"/>
        <v>1.494427165256627</v>
      </c>
      <c r="P17" s="60">
        <f t="shared" si="5"/>
        <v>3.0746298589960519</v>
      </c>
      <c r="Q17" s="60">
        <f t="shared" si="5"/>
        <v>1.7130943575860125</v>
      </c>
      <c r="R17" s="60">
        <f t="shared" si="5"/>
        <v>6.2821513818386912</v>
      </c>
      <c r="U17" s="68">
        <f>U16*0.2359</f>
        <v>235.61691999999999</v>
      </c>
      <c r="V17" s="68"/>
    </row>
    <row r="18" spans="1:22" x14ac:dyDescent="0.3">
      <c r="A18" s="58">
        <v>2210</v>
      </c>
      <c r="B18" s="55" t="s">
        <v>27</v>
      </c>
      <c r="C18" s="60">
        <f t="shared" si="5"/>
        <v>1.3871247500384556</v>
      </c>
      <c r="D18" s="60">
        <f t="shared" si="5"/>
        <v>3.2177858278213609</v>
      </c>
      <c r="E18" s="60">
        <f t="shared" si="5"/>
        <v>1.5292436548223352</v>
      </c>
      <c r="F18" s="60">
        <f t="shared" si="5"/>
        <v>6.1341542326821523</v>
      </c>
      <c r="G18" s="60">
        <f t="shared" si="5"/>
        <v>3.7898374609034509E-2</v>
      </c>
      <c r="H18" s="60">
        <f t="shared" si="5"/>
        <v>5.9649387273752755E-2</v>
      </c>
      <c r="I18" s="60">
        <f t="shared" si="5"/>
        <v>3.2147259395990363E-2</v>
      </c>
      <c r="J18" s="60">
        <f t="shared" si="5"/>
        <v>0.12969502127877763</v>
      </c>
      <c r="K18" s="60">
        <f t="shared" si="5"/>
        <v>3.7898374609034509E-2</v>
      </c>
      <c r="L18" s="60">
        <f t="shared" si="5"/>
        <v>6.6248423319489311E-2</v>
      </c>
      <c r="M18" s="60">
        <f t="shared" si="5"/>
        <v>3.7161052145823721E-2</v>
      </c>
      <c r="N18" s="60">
        <f t="shared" si="5"/>
        <v>0.14130785007434754</v>
      </c>
      <c r="O18" s="60">
        <f t="shared" si="5"/>
        <v>4.560339434958724E-2</v>
      </c>
      <c r="P18" s="60">
        <f t="shared" si="5"/>
        <v>9.3824283443572784E-2</v>
      </c>
      <c r="Q18" s="60">
        <f t="shared" si="5"/>
        <v>5.2276162641644877E-2</v>
      </c>
      <c r="R18" s="60">
        <f t="shared" si="5"/>
        <v>0.1917038404348049</v>
      </c>
      <c r="U18" s="51">
        <v>7.19</v>
      </c>
      <c r="V18" s="51" t="s">
        <v>108</v>
      </c>
    </row>
    <row r="19" spans="1:22" x14ac:dyDescent="0.3">
      <c r="A19" s="58">
        <v>2221</v>
      </c>
      <c r="B19" s="55" t="s">
        <v>28</v>
      </c>
      <c r="C19" s="60">
        <f t="shared" si="5"/>
        <v>16.116884786955854</v>
      </c>
      <c r="D19" s="60">
        <f t="shared" si="5"/>
        <v>37.387180536327747</v>
      </c>
      <c r="E19" s="60">
        <f t="shared" si="5"/>
        <v>17.768152284263962</v>
      </c>
      <c r="F19" s="60">
        <f t="shared" si="5"/>
        <v>71.27221760754756</v>
      </c>
      <c r="G19" s="60">
        <f t="shared" si="5"/>
        <v>0.44033799928216172</v>
      </c>
      <c r="H19" s="60">
        <f t="shared" si="5"/>
        <v>0.69306117007639856</v>
      </c>
      <c r="I19" s="60">
        <f t="shared" si="5"/>
        <v>0.37351627954673644</v>
      </c>
      <c r="J19" s="60">
        <f t="shared" si="5"/>
        <v>1.5069154489052967</v>
      </c>
      <c r="K19" s="60">
        <f t="shared" si="5"/>
        <v>0.44033799928216172</v>
      </c>
      <c r="L19" s="60">
        <f t="shared" si="5"/>
        <v>0.76973481002922628</v>
      </c>
      <c r="M19" s="60">
        <f t="shared" si="5"/>
        <v>0.43177111213659441</v>
      </c>
      <c r="N19" s="60">
        <f t="shared" si="5"/>
        <v>1.6418439214479823</v>
      </c>
      <c r="O19" s="60">
        <f t="shared" si="5"/>
        <v>0.52986196995334056</v>
      </c>
      <c r="P19" s="60">
        <f t="shared" si="5"/>
        <v>1.0901363892734452</v>
      </c>
      <c r="Q19" s="60">
        <f t="shared" si="5"/>
        <v>0.60739229862072508</v>
      </c>
      <c r="R19" s="60">
        <f t="shared" si="5"/>
        <v>2.2273906578475109</v>
      </c>
      <c r="U19" s="51">
        <v>83.54</v>
      </c>
      <c r="V19" s="51" t="s">
        <v>89</v>
      </c>
    </row>
    <row r="20" spans="1:22" x14ac:dyDescent="0.3">
      <c r="A20" s="58">
        <v>2224</v>
      </c>
      <c r="B20" s="55" t="s">
        <v>29</v>
      </c>
      <c r="C20" s="60">
        <f t="shared" si="5"/>
        <v>1.736317489616982</v>
      </c>
      <c r="D20" s="60">
        <f t="shared" si="5"/>
        <v>4.0278264882325798</v>
      </c>
      <c r="E20" s="60">
        <f t="shared" si="5"/>
        <v>1.9142131979695431</v>
      </c>
      <c r="F20" s="60">
        <f t="shared" si="5"/>
        <v>7.6783571758191043</v>
      </c>
      <c r="G20" s="60">
        <f t="shared" si="5"/>
        <v>4.7438855560682967E-2</v>
      </c>
      <c r="H20" s="60">
        <f t="shared" si="5"/>
        <v>7.4665436086755882E-2</v>
      </c>
      <c r="I20" s="60">
        <f t="shared" si="5"/>
        <v>4.0239963082602678E-2</v>
      </c>
      <c r="J20" s="60">
        <f t="shared" si="5"/>
        <v>0.16234425473004152</v>
      </c>
      <c r="K20" s="60">
        <f t="shared" si="5"/>
        <v>4.7438855560682967E-2</v>
      </c>
      <c r="L20" s="60">
        <f t="shared" si="5"/>
        <v>8.2925703737886464E-2</v>
      </c>
      <c r="M20" s="60">
        <f t="shared" si="5"/>
        <v>4.6515920627595755E-2</v>
      </c>
      <c r="N20" s="60">
        <f t="shared" si="5"/>
        <v>0.17688047992616518</v>
      </c>
      <c r="O20" s="60">
        <f t="shared" si="5"/>
        <v>5.7083525611444384E-2</v>
      </c>
      <c r="P20" s="60">
        <f t="shared" si="5"/>
        <v>0.1174434702353484</v>
      </c>
      <c r="Q20" s="60">
        <f t="shared" si="5"/>
        <v>6.5436086755883707E-2</v>
      </c>
      <c r="R20" s="60">
        <f t="shared" si="5"/>
        <v>0.23996308260267649</v>
      </c>
      <c r="U20" s="51">
        <v>9</v>
      </c>
      <c r="V20" s="51" t="s">
        <v>90</v>
      </c>
    </row>
    <row r="21" spans="1:22" x14ac:dyDescent="0.3">
      <c r="A21" s="58">
        <v>2234</v>
      </c>
      <c r="B21" s="55" t="s">
        <v>30</v>
      </c>
      <c r="C21" s="60">
        <f t="shared" si="5"/>
        <v>17.36317489616982</v>
      </c>
      <c r="D21" s="60">
        <f t="shared" si="5"/>
        <v>40.2782648823258</v>
      </c>
      <c r="E21" s="60">
        <f t="shared" si="5"/>
        <v>19.142131979695431</v>
      </c>
      <c r="F21" s="60">
        <f t="shared" si="5"/>
        <v>76.783571758191044</v>
      </c>
      <c r="G21" s="60">
        <f t="shared" si="5"/>
        <v>0.47438855560682969</v>
      </c>
      <c r="H21" s="60">
        <f t="shared" si="5"/>
        <v>0.74665436086755876</v>
      </c>
      <c r="I21" s="60">
        <f t="shared" si="5"/>
        <v>0.40239963082602681</v>
      </c>
      <c r="J21" s="60">
        <f t="shared" si="5"/>
        <v>1.6234425473004153</v>
      </c>
      <c r="K21" s="60">
        <f t="shared" si="5"/>
        <v>0.47438855560682969</v>
      </c>
      <c r="L21" s="60">
        <f t="shared" si="5"/>
        <v>0.82925703737886469</v>
      </c>
      <c r="M21" s="60">
        <f t="shared" si="5"/>
        <v>0.46515920627595753</v>
      </c>
      <c r="N21" s="60">
        <f t="shared" si="5"/>
        <v>1.768804799261652</v>
      </c>
      <c r="O21" s="60">
        <f t="shared" si="5"/>
        <v>0.57083525611444386</v>
      </c>
      <c r="P21" s="60">
        <f t="shared" si="5"/>
        <v>1.174434702353484</v>
      </c>
      <c r="Q21" s="60">
        <f t="shared" si="5"/>
        <v>0.65436086755883704</v>
      </c>
      <c r="R21" s="60">
        <f t="shared" si="5"/>
        <v>2.3996308260267649</v>
      </c>
      <c r="U21" s="51">
        <f>3*30</f>
        <v>90</v>
      </c>
      <c r="V21" s="51" t="s">
        <v>91</v>
      </c>
    </row>
    <row r="22" spans="1:22" x14ac:dyDescent="0.3">
      <c r="A22" s="58">
        <v>2235</v>
      </c>
      <c r="B22" s="55" t="s">
        <v>31</v>
      </c>
      <c r="C22" s="60">
        <f t="shared" si="5"/>
        <v>11.575449930779881</v>
      </c>
      <c r="D22" s="60">
        <f t="shared" si="5"/>
        <v>26.852176588217201</v>
      </c>
      <c r="E22" s="60">
        <f t="shared" si="5"/>
        <v>12.761421319796955</v>
      </c>
      <c r="F22" s="60">
        <f t="shared" si="5"/>
        <v>51.189047838794039</v>
      </c>
      <c r="G22" s="60">
        <f t="shared" si="5"/>
        <v>0.31625903707121983</v>
      </c>
      <c r="H22" s="60">
        <f t="shared" si="5"/>
        <v>0.4977695739117059</v>
      </c>
      <c r="I22" s="60">
        <f t="shared" si="5"/>
        <v>0.26826642055068456</v>
      </c>
      <c r="J22" s="60">
        <f t="shared" si="5"/>
        <v>1.0822950315336102</v>
      </c>
      <c r="K22" s="60">
        <f t="shared" si="5"/>
        <v>0.31625903707121983</v>
      </c>
      <c r="L22" s="60">
        <f t="shared" si="5"/>
        <v>0.55283802491924317</v>
      </c>
      <c r="M22" s="60">
        <f t="shared" si="5"/>
        <v>0.31010613751730504</v>
      </c>
      <c r="N22" s="60">
        <f t="shared" si="5"/>
        <v>1.1792031995077681</v>
      </c>
      <c r="O22" s="60">
        <f t="shared" si="5"/>
        <v>0.38055683740962926</v>
      </c>
      <c r="P22" s="60">
        <f t="shared" si="5"/>
        <v>0.78295646823565612</v>
      </c>
      <c r="Q22" s="60">
        <f t="shared" si="5"/>
        <v>0.43624057837255809</v>
      </c>
      <c r="R22" s="60">
        <f t="shared" si="5"/>
        <v>1.5997538840178436</v>
      </c>
      <c r="U22" s="51">
        <f>3*20</f>
        <v>60</v>
      </c>
      <c r="V22" s="51" t="s">
        <v>92</v>
      </c>
    </row>
    <row r="23" spans="1:22" x14ac:dyDescent="0.3">
      <c r="A23" s="58">
        <v>2243</v>
      </c>
      <c r="B23" s="55" t="s">
        <v>32</v>
      </c>
      <c r="C23" s="60">
        <f t="shared" si="5"/>
        <v>7.877093677895707</v>
      </c>
      <c r="D23" s="60">
        <f t="shared" si="5"/>
        <v>18.272906168281803</v>
      </c>
      <c r="E23" s="60">
        <f t="shared" si="5"/>
        <v>8.6841472081218267</v>
      </c>
      <c r="F23" s="60">
        <f t="shared" si="5"/>
        <v>34.834147054299336</v>
      </c>
      <c r="G23" s="60">
        <f t="shared" si="5"/>
        <v>0.21521427472696505</v>
      </c>
      <c r="H23" s="60">
        <f t="shared" si="5"/>
        <v>0.33873219504691582</v>
      </c>
      <c r="I23" s="60">
        <f t="shared" si="5"/>
        <v>0.18255529918474081</v>
      </c>
      <c r="J23" s="60">
        <f t="shared" si="5"/>
        <v>0.73650176895862163</v>
      </c>
      <c r="K23" s="60">
        <f t="shared" si="5"/>
        <v>0.21521427472696505</v>
      </c>
      <c r="L23" s="60">
        <f t="shared" si="5"/>
        <v>0.37620627595754491</v>
      </c>
      <c r="M23" s="60">
        <f t="shared" si="5"/>
        <v>0.21102722658052606</v>
      </c>
      <c r="N23" s="60">
        <f t="shared" si="5"/>
        <v>0.80244777726503602</v>
      </c>
      <c r="O23" s="60">
        <f t="shared" si="5"/>
        <v>0.25896892785725267</v>
      </c>
      <c r="P23" s="60">
        <f t="shared" si="5"/>
        <v>0.53280187663436385</v>
      </c>
      <c r="Q23" s="60">
        <f t="shared" si="5"/>
        <v>0.29686171358252572</v>
      </c>
      <c r="R23" s="60">
        <f t="shared" si="5"/>
        <v>1.0886325180741423</v>
      </c>
      <c r="U23" s="51">
        <v>40.83</v>
      </c>
      <c r="V23" s="51" t="s">
        <v>93</v>
      </c>
    </row>
    <row r="24" spans="1:22" x14ac:dyDescent="0.3">
      <c r="A24" s="58">
        <v>2244</v>
      </c>
      <c r="B24" s="55" t="s">
        <v>33</v>
      </c>
      <c r="C24" s="60">
        <f t="shared" si="5"/>
        <v>1.6880864482387326</v>
      </c>
      <c r="D24" s="60">
        <f t="shared" si="5"/>
        <v>3.9159424191150083</v>
      </c>
      <c r="E24" s="60">
        <f t="shared" si="5"/>
        <v>1.8610406091370559</v>
      </c>
      <c r="F24" s="60">
        <f t="shared" si="5"/>
        <v>7.4650694764907977</v>
      </c>
      <c r="G24" s="60">
        <f t="shared" si="5"/>
        <v>4.6121109572886225E-2</v>
      </c>
      <c r="H24" s="60">
        <f t="shared" si="5"/>
        <v>7.2591396195457111E-2</v>
      </c>
      <c r="I24" s="60">
        <f t="shared" si="5"/>
        <v>3.9122186330308166E-2</v>
      </c>
      <c r="J24" s="60">
        <f t="shared" si="5"/>
        <v>0.1578346920986515</v>
      </c>
      <c r="K24" s="60">
        <f t="shared" si="5"/>
        <v>4.6121109572886225E-2</v>
      </c>
      <c r="L24" s="60">
        <f t="shared" si="5"/>
        <v>8.062221196738964E-2</v>
      </c>
      <c r="M24" s="60">
        <f t="shared" si="5"/>
        <v>4.5223811721273655E-2</v>
      </c>
      <c r="N24" s="60">
        <f t="shared" si="5"/>
        <v>0.1719671332615495</v>
      </c>
      <c r="O24" s="60">
        <f t="shared" si="5"/>
        <v>5.5497872122237606E-2</v>
      </c>
      <c r="P24" s="60">
        <f t="shared" si="5"/>
        <v>0.11418115161769984</v>
      </c>
      <c r="Q24" s="60">
        <f t="shared" si="5"/>
        <v>6.3618417679331393E-2</v>
      </c>
      <c r="R24" s="60">
        <f t="shared" si="5"/>
        <v>0.23329744141926884</v>
      </c>
      <c r="U24" s="51">
        <v>8.75</v>
      </c>
      <c r="V24" s="51" t="s">
        <v>94</v>
      </c>
    </row>
    <row r="25" spans="1:22" x14ac:dyDescent="0.3">
      <c r="A25" s="58">
        <v>2247</v>
      </c>
      <c r="B25" s="55" t="s">
        <v>34</v>
      </c>
      <c r="C25" s="60">
        <f t="shared" si="5"/>
        <v>5.2089524688509463E-2</v>
      </c>
      <c r="D25" s="60">
        <f t="shared" si="5"/>
        <v>0.12083479464697741</v>
      </c>
      <c r="E25" s="60">
        <f t="shared" si="5"/>
        <v>5.74263959390863E-2</v>
      </c>
      <c r="F25" s="60">
        <f t="shared" si="5"/>
        <v>0.23035071527457318</v>
      </c>
      <c r="G25" s="60">
        <f t="shared" si="5"/>
        <v>1.4231656668204891E-3</v>
      </c>
      <c r="H25" s="60">
        <f t="shared" si="5"/>
        <v>2.2399630826026766E-3</v>
      </c>
      <c r="I25" s="60">
        <f t="shared" si="5"/>
        <v>1.2071988924780804E-3</v>
      </c>
      <c r="J25" s="60">
        <f t="shared" si="5"/>
        <v>4.8703276419012464E-3</v>
      </c>
      <c r="K25" s="60">
        <f t="shared" si="5"/>
        <v>1.4231656668204891E-3</v>
      </c>
      <c r="L25" s="60">
        <f t="shared" si="5"/>
        <v>2.4877711121365944E-3</v>
      </c>
      <c r="M25" s="60">
        <f t="shared" si="5"/>
        <v>1.3954776188278728E-3</v>
      </c>
      <c r="N25" s="60">
        <f t="shared" si="5"/>
        <v>5.3064143977849566E-3</v>
      </c>
      <c r="O25" s="60">
        <f t="shared" si="5"/>
        <v>1.7125057683433319E-3</v>
      </c>
      <c r="P25" s="60">
        <f t="shared" si="5"/>
        <v>3.5233041070604526E-3</v>
      </c>
      <c r="Q25" s="60">
        <f t="shared" si="5"/>
        <v>1.9630826026765117E-3</v>
      </c>
      <c r="R25" s="60">
        <f t="shared" si="5"/>
        <v>7.198892478080296E-3</v>
      </c>
      <c r="U25" s="51">
        <v>0.27</v>
      </c>
      <c r="V25" s="51" t="s">
        <v>95</v>
      </c>
    </row>
    <row r="26" spans="1:22" x14ac:dyDescent="0.3">
      <c r="A26" s="58">
        <v>2251</v>
      </c>
      <c r="B26" s="55" t="s">
        <v>35</v>
      </c>
      <c r="C26" s="60">
        <f t="shared" ref="C26:R34" si="6">$U26/$T$9*C$9</f>
        <v>0</v>
      </c>
      <c r="D26" s="60">
        <f t="shared" si="6"/>
        <v>0</v>
      </c>
      <c r="E26" s="60">
        <f t="shared" si="6"/>
        <v>0</v>
      </c>
      <c r="F26" s="60">
        <f t="shared" si="6"/>
        <v>0</v>
      </c>
      <c r="G26" s="60">
        <f t="shared" si="6"/>
        <v>0</v>
      </c>
      <c r="H26" s="60">
        <f t="shared" si="6"/>
        <v>0</v>
      </c>
      <c r="I26" s="60">
        <f t="shared" si="6"/>
        <v>0</v>
      </c>
      <c r="J26" s="60">
        <f t="shared" si="6"/>
        <v>0</v>
      </c>
      <c r="K26" s="60">
        <f t="shared" si="6"/>
        <v>0</v>
      </c>
      <c r="L26" s="60">
        <f t="shared" si="6"/>
        <v>0</v>
      </c>
      <c r="M26" s="60">
        <f t="shared" si="6"/>
        <v>0</v>
      </c>
      <c r="N26" s="60">
        <f t="shared" si="6"/>
        <v>0</v>
      </c>
      <c r="O26" s="60">
        <f t="shared" si="6"/>
        <v>0</v>
      </c>
      <c r="P26" s="60">
        <f t="shared" si="6"/>
        <v>0</v>
      </c>
      <c r="Q26" s="60">
        <f t="shared" si="6"/>
        <v>0</v>
      </c>
      <c r="R26" s="60">
        <f t="shared" si="6"/>
        <v>0</v>
      </c>
      <c r="U26" s="51">
        <v>0</v>
      </c>
      <c r="V26" s="51" t="s">
        <v>96</v>
      </c>
    </row>
    <row r="27" spans="1:22" x14ac:dyDescent="0.3">
      <c r="A27" s="58">
        <v>2311</v>
      </c>
      <c r="B27" s="55" t="s">
        <v>36</v>
      </c>
      <c r="C27" s="60">
        <f t="shared" si="6"/>
        <v>0.43022088909398554</v>
      </c>
      <c r="D27" s="60">
        <f t="shared" si="6"/>
        <v>0.99800589652873928</v>
      </c>
      <c r="E27" s="60">
        <f t="shared" si="6"/>
        <v>0.47429949238578684</v>
      </c>
      <c r="F27" s="60">
        <f t="shared" si="6"/>
        <v>1.9025262780085117</v>
      </c>
      <c r="G27" s="60">
        <f t="shared" si="6"/>
        <v>1.1754294211147003E-2</v>
      </c>
      <c r="H27" s="60">
        <f t="shared" si="6"/>
        <v>1.8500435830385069E-2</v>
      </c>
      <c r="I27" s="60">
        <f t="shared" si="6"/>
        <v>9.9705686304671082E-3</v>
      </c>
      <c r="J27" s="60">
        <f t="shared" si="6"/>
        <v>4.0225298671999178E-2</v>
      </c>
      <c r="K27" s="60">
        <f t="shared" si="6"/>
        <v>1.1754294211147003E-2</v>
      </c>
      <c r="L27" s="60">
        <f t="shared" si="6"/>
        <v>2.0547146592831873E-2</v>
      </c>
      <c r="M27" s="60">
        <f t="shared" si="6"/>
        <v>1.1525611444393171E-2</v>
      </c>
      <c r="N27" s="60">
        <f t="shared" si="6"/>
        <v>4.3827052248372043E-2</v>
      </c>
      <c r="O27" s="60">
        <f t="shared" si="6"/>
        <v>1.4144029123724556E-2</v>
      </c>
      <c r="P27" s="60">
        <f t="shared" si="6"/>
        <v>2.9099882069425216E-2</v>
      </c>
      <c r="Q27" s="60">
        <f t="shared" si="6"/>
        <v>1.621360816284674E-2</v>
      </c>
      <c r="R27" s="60">
        <f t="shared" si="6"/>
        <v>5.9457519355996517E-2</v>
      </c>
      <c r="U27" s="51">
        <v>2.23</v>
      </c>
      <c r="V27" s="51" t="s">
        <v>97</v>
      </c>
    </row>
    <row r="28" spans="1:22" x14ac:dyDescent="0.3">
      <c r="A28" s="58">
        <v>2312</v>
      </c>
      <c r="B28" s="55" t="s">
        <v>37</v>
      </c>
      <c r="C28" s="60">
        <f t="shared" si="6"/>
        <v>1.0610829103214892</v>
      </c>
      <c r="D28" s="60">
        <f t="shared" si="6"/>
        <v>2.461449520586577</v>
      </c>
      <c r="E28" s="60">
        <f t="shared" si="6"/>
        <v>1.1697969543147209</v>
      </c>
      <c r="F28" s="60">
        <f t="shared" si="6"/>
        <v>4.692329385222787</v>
      </c>
      <c r="G28" s="60">
        <f t="shared" si="6"/>
        <v>2.8990411731528484E-2</v>
      </c>
      <c r="H28" s="60">
        <f t="shared" si="6"/>
        <v>4.5628877608573044E-2</v>
      </c>
      <c r="I28" s="60">
        <f t="shared" si="6"/>
        <v>2.4591088550479416E-2</v>
      </c>
      <c r="J28" s="60">
        <f t="shared" si="6"/>
        <v>9.9210377890580945E-2</v>
      </c>
      <c r="K28" s="60">
        <f t="shared" si="6"/>
        <v>2.8990411731528484E-2</v>
      </c>
      <c r="L28" s="60">
        <f t="shared" si="6"/>
        <v>5.0676818950930624E-2</v>
      </c>
      <c r="M28" s="60">
        <f t="shared" si="6"/>
        <v>2.8426395939086298E-2</v>
      </c>
      <c r="N28" s="60">
        <f t="shared" si="6"/>
        <v>0.10809362662154541</v>
      </c>
      <c r="O28" s="60">
        <f t="shared" si="6"/>
        <v>3.4884376762549352E-2</v>
      </c>
      <c r="P28" s="60">
        <f t="shared" si="6"/>
        <v>7.1771009588268472E-2</v>
      </c>
      <c r="Q28" s="60">
        <f t="shared" si="6"/>
        <v>3.9988719684151158E-2</v>
      </c>
      <c r="R28" s="60">
        <f t="shared" si="6"/>
        <v>0.146644106034969</v>
      </c>
      <c r="U28" s="51">
        <v>5.5</v>
      </c>
      <c r="V28" s="51" t="s">
        <v>98</v>
      </c>
    </row>
    <row r="29" spans="1:22" x14ac:dyDescent="0.3">
      <c r="A29" s="58">
        <v>2321</v>
      </c>
      <c r="B29" s="55" t="s">
        <v>38</v>
      </c>
      <c r="C29" s="60">
        <f t="shared" si="6"/>
        <v>0</v>
      </c>
      <c r="D29" s="60">
        <f t="shared" si="6"/>
        <v>0</v>
      </c>
      <c r="E29" s="60">
        <f t="shared" si="6"/>
        <v>0</v>
      </c>
      <c r="F29" s="60">
        <f t="shared" si="6"/>
        <v>0</v>
      </c>
      <c r="G29" s="60">
        <f t="shared" si="6"/>
        <v>0</v>
      </c>
      <c r="H29" s="60">
        <f t="shared" si="6"/>
        <v>0</v>
      </c>
      <c r="I29" s="60">
        <f t="shared" si="6"/>
        <v>0</v>
      </c>
      <c r="J29" s="60">
        <f t="shared" si="6"/>
        <v>0</v>
      </c>
      <c r="K29" s="60">
        <f t="shared" si="6"/>
        <v>0</v>
      </c>
      <c r="L29" s="60">
        <f t="shared" si="6"/>
        <v>0</v>
      </c>
      <c r="M29" s="60">
        <f t="shared" si="6"/>
        <v>0</v>
      </c>
      <c r="N29" s="60">
        <f t="shared" si="6"/>
        <v>0</v>
      </c>
      <c r="O29" s="60">
        <f t="shared" si="6"/>
        <v>0</v>
      </c>
      <c r="P29" s="60">
        <f t="shared" si="6"/>
        <v>0</v>
      </c>
      <c r="Q29" s="60">
        <f t="shared" si="6"/>
        <v>0</v>
      </c>
      <c r="R29" s="60">
        <f t="shared" si="6"/>
        <v>0</v>
      </c>
      <c r="U29" s="51">
        <v>0</v>
      </c>
      <c r="V29" s="51" t="s">
        <v>99</v>
      </c>
    </row>
    <row r="30" spans="1:22" x14ac:dyDescent="0.3">
      <c r="A30" s="58">
        <v>2341</v>
      </c>
      <c r="B30" s="55" t="s">
        <v>39</v>
      </c>
      <c r="C30" s="60">
        <f t="shared" si="6"/>
        <v>0.1061082910321489</v>
      </c>
      <c r="D30" s="60">
        <f t="shared" si="6"/>
        <v>0.24614495205865769</v>
      </c>
      <c r="E30" s="60">
        <f t="shared" si="6"/>
        <v>0.11697969543147209</v>
      </c>
      <c r="F30" s="60">
        <f t="shared" si="6"/>
        <v>0.46923293852227871</v>
      </c>
      <c r="G30" s="60">
        <f t="shared" si="6"/>
        <v>2.8990411731528482E-3</v>
      </c>
      <c r="H30" s="60">
        <f t="shared" si="6"/>
        <v>4.5628877608573041E-3</v>
      </c>
      <c r="I30" s="60">
        <f t="shared" si="6"/>
        <v>2.459108855047942E-3</v>
      </c>
      <c r="J30" s="60">
        <f t="shared" si="6"/>
        <v>9.9210377890580938E-3</v>
      </c>
      <c r="K30" s="60">
        <f t="shared" si="6"/>
        <v>2.8990411731528482E-3</v>
      </c>
      <c r="L30" s="60">
        <f t="shared" si="6"/>
        <v>5.0676818950930631E-3</v>
      </c>
      <c r="M30" s="60">
        <f t="shared" si="6"/>
        <v>2.8426395939086298E-3</v>
      </c>
      <c r="N30" s="60">
        <f t="shared" si="6"/>
        <v>1.0809362662154541E-2</v>
      </c>
      <c r="O30" s="60">
        <f t="shared" si="6"/>
        <v>3.4884376762549353E-3</v>
      </c>
      <c r="P30" s="60">
        <f t="shared" si="6"/>
        <v>7.1771009588268474E-3</v>
      </c>
      <c r="Q30" s="60">
        <f t="shared" si="6"/>
        <v>3.9988719684151157E-3</v>
      </c>
      <c r="R30" s="60">
        <f t="shared" si="6"/>
        <v>1.4664410603496899E-2</v>
      </c>
      <c r="U30" s="51">
        <v>0.55000000000000004</v>
      </c>
      <c r="V30" s="51" t="s">
        <v>100</v>
      </c>
    </row>
    <row r="31" spans="1:22" x14ac:dyDescent="0.3">
      <c r="A31" s="58">
        <v>2351</v>
      </c>
      <c r="B31" s="55" t="s">
        <v>40</v>
      </c>
      <c r="C31" s="60">
        <f t="shared" si="6"/>
        <v>2.7974003999384709</v>
      </c>
      <c r="D31" s="60">
        <f t="shared" si="6"/>
        <v>6.4892760088191563</v>
      </c>
      <c r="E31" s="60">
        <f t="shared" si="6"/>
        <v>3.084010152284264</v>
      </c>
      <c r="F31" s="60">
        <f t="shared" si="6"/>
        <v>12.370686561041891</v>
      </c>
      <c r="G31" s="60">
        <f t="shared" si="6"/>
        <v>7.6429267292211445E-2</v>
      </c>
      <c r="H31" s="60">
        <f t="shared" si="6"/>
        <v>0.12029431369532892</v>
      </c>
      <c r="I31" s="60">
        <f t="shared" si="6"/>
        <v>6.4831051633082101E-2</v>
      </c>
      <c r="J31" s="60">
        <f t="shared" si="6"/>
        <v>0.26155463262062245</v>
      </c>
      <c r="K31" s="60">
        <f t="shared" si="6"/>
        <v>7.6429267292211445E-2</v>
      </c>
      <c r="L31" s="60">
        <f t="shared" si="6"/>
        <v>0.13360252268881709</v>
      </c>
      <c r="M31" s="60">
        <f t="shared" si="6"/>
        <v>7.4942316566682043E-2</v>
      </c>
      <c r="N31" s="60">
        <f t="shared" si="6"/>
        <v>0.2849741065477106</v>
      </c>
      <c r="O31" s="60">
        <f t="shared" si="6"/>
        <v>9.1967902373993743E-2</v>
      </c>
      <c r="P31" s="60">
        <f t="shared" si="6"/>
        <v>0.18921447982361686</v>
      </c>
      <c r="Q31" s="60">
        <f t="shared" si="6"/>
        <v>0.10542480644003487</v>
      </c>
      <c r="R31" s="60">
        <f t="shared" si="6"/>
        <v>0.38660718863764548</v>
      </c>
      <c r="U31" s="51">
        <v>14.5</v>
      </c>
      <c r="V31" s="51" t="s">
        <v>97</v>
      </c>
    </row>
    <row r="32" spans="1:22" x14ac:dyDescent="0.3">
      <c r="A32" s="58">
        <v>2352</v>
      </c>
      <c r="B32" s="55" t="s">
        <v>41</v>
      </c>
      <c r="C32" s="60">
        <f t="shared" si="6"/>
        <v>1.9292416551299798</v>
      </c>
      <c r="D32" s="60">
        <f t="shared" si="6"/>
        <v>4.475362764702866</v>
      </c>
      <c r="E32" s="60">
        <f t="shared" si="6"/>
        <v>2.1269035532994924</v>
      </c>
      <c r="F32" s="60">
        <f t="shared" si="6"/>
        <v>8.5315079731323387</v>
      </c>
      <c r="G32" s="60">
        <f t="shared" si="6"/>
        <v>5.2709839511869964E-2</v>
      </c>
      <c r="H32" s="60">
        <f t="shared" si="6"/>
        <v>8.2961595651950978E-2</v>
      </c>
      <c r="I32" s="60">
        <f t="shared" si="6"/>
        <v>4.4711070091780755E-2</v>
      </c>
      <c r="J32" s="60">
        <f t="shared" si="6"/>
        <v>0.18038250525560168</v>
      </c>
      <c r="K32" s="60">
        <f t="shared" si="6"/>
        <v>5.2709839511869964E-2</v>
      </c>
      <c r="L32" s="60">
        <f t="shared" si="6"/>
        <v>9.2139670819873856E-2</v>
      </c>
      <c r="M32" s="60">
        <f t="shared" si="6"/>
        <v>5.1684356252884166E-2</v>
      </c>
      <c r="N32" s="60">
        <f t="shared" si="6"/>
        <v>0.19653386658462799</v>
      </c>
      <c r="O32" s="60">
        <f t="shared" si="6"/>
        <v>6.3426139568271533E-2</v>
      </c>
      <c r="P32" s="60">
        <f t="shared" si="6"/>
        <v>0.13049274470594266</v>
      </c>
      <c r="Q32" s="60">
        <f t="shared" si="6"/>
        <v>7.2706763062093005E-2</v>
      </c>
      <c r="R32" s="60">
        <f t="shared" si="6"/>
        <v>0.26662564733630723</v>
      </c>
      <c r="U32" s="51">
        <v>10</v>
      </c>
      <c r="V32" s="51" t="s">
        <v>98</v>
      </c>
    </row>
    <row r="33" spans="1:22" x14ac:dyDescent="0.3">
      <c r="A33" s="58">
        <v>2362</v>
      </c>
      <c r="B33" s="55" t="s">
        <v>42</v>
      </c>
      <c r="C33" s="60">
        <f t="shared" si="6"/>
        <v>3.7137901861252116</v>
      </c>
      <c r="D33" s="60">
        <f t="shared" si="6"/>
        <v>8.6150733220530178</v>
      </c>
      <c r="E33" s="60">
        <f t="shared" si="6"/>
        <v>4.0942893401015228</v>
      </c>
      <c r="F33" s="60">
        <f t="shared" si="6"/>
        <v>16.423152848279752</v>
      </c>
      <c r="G33" s="60">
        <f t="shared" si="6"/>
        <v>0.10146644106034969</v>
      </c>
      <c r="H33" s="60">
        <f t="shared" si="6"/>
        <v>0.15970107163000566</v>
      </c>
      <c r="I33" s="60">
        <f t="shared" si="6"/>
        <v>8.6068809926677953E-2</v>
      </c>
      <c r="J33" s="60">
        <f t="shared" si="6"/>
        <v>0.3472363226170333</v>
      </c>
      <c r="K33" s="60">
        <f t="shared" si="6"/>
        <v>0.10146644106034969</v>
      </c>
      <c r="L33" s="60">
        <f t="shared" si="6"/>
        <v>0.17736886632825719</v>
      </c>
      <c r="M33" s="60">
        <f t="shared" si="6"/>
        <v>9.9492385786802043E-2</v>
      </c>
      <c r="N33" s="60">
        <f t="shared" si="6"/>
        <v>0.37832769317540893</v>
      </c>
      <c r="O33" s="60">
        <f t="shared" si="6"/>
        <v>0.12209531866892273</v>
      </c>
      <c r="P33" s="60">
        <f t="shared" si="6"/>
        <v>0.25119853355893967</v>
      </c>
      <c r="Q33" s="60">
        <f t="shared" si="6"/>
        <v>0.13996051889452904</v>
      </c>
      <c r="R33" s="60">
        <f t="shared" si="6"/>
        <v>0.51325437112239147</v>
      </c>
      <c r="U33" s="51">
        <v>19.25</v>
      </c>
      <c r="V33" s="51" t="s">
        <v>101</v>
      </c>
    </row>
    <row r="34" spans="1:22" x14ac:dyDescent="0.3">
      <c r="A34" s="58" t="s">
        <v>13</v>
      </c>
      <c r="B34" s="55" t="s">
        <v>43</v>
      </c>
      <c r="C34" s="60">
        <f t="shared" si="6"/>
        <v>32.930225811413628</v>
      </c>
      <c r="D34" s="60">
        <f t="shared" si="6"/>
        <v>76.389967030713237</v>
      </c>
      <c r="E34" s="60">
        <f t="shared" si="6"/>
        <v>36.304116751269035</v>
      </c>
      <c r="F34" s="60">
        <f t="shared" si="6"/>
        <v>145.62430959339591</v>
      </c>
      <c r="G34" s="60">
        <f t="shared" si="6"/>
        <v>0.89970425062810844</v>
      </c>
      <c r="H34" s="60">
        <f t="shared" si="6"/>
        <v>1.4160714761831514</v>
      </c>
      <c r="I34" s="60">
        <f t="shared" si="6"/>
        <v>0.76317325539660574</v>
      </c>
      <c r="J34" s="60">
        <f t="shared" si="6"/>
        <v>3.0789489822078657</v>
      </c>
      <c r="K34" s="60">
        <f t="shared" si="6"/>
        <v>0.89970425062810844</v>
      </c>
      <c r="L34" s="60">
        <f t="shared" si="6"/>
        <v>1.572732041224427</v>
      </c>
      <c r="M34" s="60">
        <f t="shared" si="6"/>
        <v>0.88220027688047997</v>
      </c>
      <c r="N34" s="60">
        <f t="shared" si="6"/>
        <v>3.3546365687330155</v>
      </c>
      <c r="O34" s="60">
        <f t="shared" si="6"/>
        <v>1.0826207762908271</v>
      </c>
      <c r="P34" s="60">
        <f t="shared" si="6"/>
        <v>2.2273806593857355</v>
      </c>
      <c r="Q34" s="60">
        <f t="shared" si="6"/>
        <v>1.2410317387068657</v>
      </c>
      <c r="R34" s="60">
        <f t="shared" si="6"/>
        <v>4.551033174383428</v>
      </c>
      <c r="U34" s="51">
        <v>170.69</v>
      </c>
      <c r="V34" s="51" t="s">
        <v>43</v>
      </c>
    </row>
    <row r="35" spans="1:22" x14ac:dyDescent="0.3">
      <c r="A35" s="56"/>
      <c r="B35" s="61" t="s">
        <v>44</v>
      </c>
      <c r="C35" s="60">
        <f>SUM(C16:C34)</f>
        <v>338.91314583356399</v>
      </c>
      <c r="D35" s="60">
        <f t="shared" ref="D35:R35" si="7">SUM(D16:D34)</f>
        <v>786.19454918915028</v>
      </c>
      <c r="E35" s="60">
        <f t="shared" si="7"/>
        <v>373.63674592893403</v>
      </c>
      <c r="F35" s="60">
        <f t="shared" si="7"/>
        <v>1498.744440951649</v>
      </c>
      <c r="G35" s="60">
        <f t="shared" si="7"/>
        <v>9.2596266920986512</v>
      </c>
      <c r="H35" s="60">
        <f t="shared" si="7"/>
        <v>14.574003879198075</v>
      </c>
      <c r="I35" s="60">
        <f t="shared" si="7"/>
        <v>7.8544693341537197</v>
      </c>
      <c r="J35" s="60">
        <f t="shared" si="7"/>
        <v>31.688099905450443</v>
      </c>
      <c r="K35" s="60">
        <f t="shared" si="7"/>
        <v>9.2596266920986512</v>
      </c>
      <c r="L35" s="60">
        <f t="shared" si="7"/>
        <v>16.186331873250268</v>
      </c>
      <c r="M35" s="60">
        <f t="shared" si="7"/>
        <v>9.0794783128749437</v>
      </c>
      <c r="N35" s="60">
        <f t="shared" si="7"/>
        <v>34.525436878223864</v>
      </c>
      <c r="O35" s="60">
        <f t="shared" si="7"/>
        <v>11.142177254986416</v>
      </c>
      <c r="P35" s="60">
        <f t="shared" si="7"/>
        <v>22.923881256216987</v>
      </c>
      <c r="Q35" s="60">
        <f t="shared" si="7"/>
        <v>12.772520086960984</v>
      </c>
      <c r="R35" s="60">
        <f t="shared" si="7"/>
        <v>46.838578598164375</v>
      </c>
    </row>
    <row r="36" spans="1:22" ht="15.75" customHeight="1" x14ac:dyDescent="0.3">
      <c r="A36" s="55"/>
      <c r="B36" s="55" t="s">
        <v>45</v>
      </c>
      <c r="C36" s="60">
        <f>C14+C35</f>
        <v>1366.1710480639899</v>
      </c>
      <c r="D36" s="60">
        <f t="shared" ref="D36:R36" si="8">D14+D35</f>
        <v>3169.1784294947443</v>
      </c>
      <c r="E36" s="60">
        <f t="shared" si="8"/>
        <v>1506.1431256243657</v>
      </c>
      <c r="F36" s="60">
        <f t="shared" si="8"/>
        <v>6041.492603183101</v>
      </c>
      <c r="G36" s="60">
        <f t="shared" si="8"/>
        <v>37.325887349433415</v>
      </c>
      <c r="H36" s="60">
        <f t="shared" si="8"/>
        <v>58.748332423524595</v>
      </c>
      <c r="I36" s="60">
        <f t="shared" si="8"/>
        <v>31.661647634927956</v>
      </c>
      <c r="J36" s="60">
        <f t="shared" si="8"/>
        <v>127.73586740788596</v>
      </c>
      <c r="K36" s="60">
        <f t="shared" si="8"/>
        <v>37.325887349433415</v>
      </c>
      <c r="L36" s="60">
        <f t="shared" si="8"/>
        <v>65.247684403630217</v>
      </c>
      <c r="M36" s="60">
        <f t="shared" si="8"/>
        <v>36.599702770650666</v>
      </c>
      <c r="N36" s="60">
        <f t="shared" si="8"/>
        <v>139.1732745237143</v>
      </c>
      <c r="O36" s="60">
        <f t="shared" si="8"/>
        <v>44.914516197713169</v>
      </c>
      <c r="P36" s="60">
        <f t="shared" si="8"/>
        <v>92.406987650105108</v>
      </c>
      <c r="Q36" s="60">
        <f t="shared" si="8"/>
        <v>51.486486635697077</v>
      </c>
      <c r="R36" s="60">
        <f t="shared" si="8"/>
        <v>188.80799048351531</v>
      </c>
    </row>
    <row r="37" spans="1:22" ht="36.75" customHeight="1" x14ac:dyDescent="0.3">
      <c r="A37" s="55"/>
      <c r="B37" s="55" t="s">
        <v>46</v>
      </c>
      <c r="C37" s="62">
        <v>874</v>
      </c>
      <c r="D37" s="62">
        <v>859</v>
      </c>
      <c r="E37" s="62">
        <v>859</v>
      </c>
      <c r="F37" s="62" t="s">
        <v>47</v>
      </c>
      <c r="G37" s="62">
        <v>16</v>
      </c>
      <c r="H37" s="62">
        <v>16</v>
      </c>
      <c r="I37" s="62">
        <v>15</v>
      </c>
      <c r="J37" s="62" t="s">
        <v>47</v>
      </c>
      <c r="K37" s="81">
        <v>17</v>
      </c>
      <c r="L37" s="81">
        <v>17</v>
      </c>
      <c r="M37" s="81">
        <v>17</v>
      </c>
      <c r="N37" s="81" t="s">
        <v>47</v>
      </c>
      <c r="O37" s="81">
        <v>21</v>
      </c>
      <c r="P37" s="81">
        <v>21</v>
      </c>
      <c r="Q37" s="81">
        <v>21</v>
      </c>
      <c r="R37" s="81" t="s">
        <v>47</v>
      </c>
    </row>
    <row r="38" spans="1:22" ht="50.25" customHeight="1" x14ac:dyDescent="0.3">
      <c r="A38" s="55"/>
      <c r="B38" s="55" t="s">
        <v>123</v>
      </c>
      <c r="C38" s="60">
        <f>C14/C37</f>
        <v>1.1753522908814942</v>
      </c>
      <c r="D38" s="63">
        <f t="shared" ref="D38:E38" si="9">D14/D37</f>
        <v>2.7741372296921933</v>
      </c>
      <c r="E38" s="60">
        <f t="shared" si="9"/>
        <v>1.3184009076780345</v>
      </c>
      <c r="F38" s="60">
        <f>SUM(C38:E38)</f>
        <v>5.2678904282517216</v>
      </c>
      <c r="G38" s="60">
        <f>G14/G37</f>
        <v>1.7541412910834229</v>
      </c>
      <c r="H38" s="60">
        <f t="shared" ref="H38:I38" si="10">H14/H37</f>
        <v>2.7608955340204075</v>
      </c>
      <c r="I38" s="60">
        <f t="shared" si="10"/>
        <v>1.5871452200516158</v>
      </c>
      <c r="J38" s="60">
        <f>SUM(G38:I38)</f>
        <v>6.1021820451554465</v>
      </c>
      <c r="K38" s="60">
        <f>K14/K37</f>
        <v>1.6509565092549863</v>
      </c>
      <c r="L38" s="60">
        <f t="shared" ref="L38:M38" si="11">L14/L37</f>
        <v>2.8859619135517613</v>
      </c>
      <c r="M38" s="60">
        <f t="shared" si="11"/>
        <v>1.6188367328103366</v>
      </c>
      <c r="N38" s="60">
        <f>SUM(K38:M38)</f>
        <v>6.1557551556170846</v>
      </c>
      <c r="O38" s="60">
        <f>O14/O37</f>
        <v>1.6082066163203217</v>
      </c>
      <c r="P38" s="60">
        <f t="shared" ref="P38:Q38" si="12">P14/P37</f>
        <v>3.3087193520899105</v>
      </c>
      <c r="Q38" s="60">
        <f t="shared" si="12"/>
        <v>1.8435222166064804</v>
      </c>
      <c r="R38" s="60">
        <f>SUM(O38:Q38)</f>
        <v>6.7604481850167124</v>
      </c>
    </row>
    <row r="39" spans="1:22" ht="49.5" customHeight="1" x14ac:dyDescent="0.3">
      <c r="A39" s="29"/>
      <c r="B39" s="55" t="s">
        <v>125</v>
      </c>
      <c r="C39" s="17">
        <f>C9/C37</f>
        <v>0.43050343249427919</v>
      </c>
      <c r="D39" s="17">
        <f>D9/D37</f>
        <v>1.0161001164144354</v>
      </c>
      <c r="E39" s="17">
        <f>E9/E37</f>
        <v>0.48289871944121071</v>
      </c>
      <c r="F39" s="17">
        <f>SUM(C39:E39)</f>
        <v>1.9295022683499252</v>
      </c>
      <c r="G39" s="17">
        <f>G9/G37</f>
        <v>0.64249999999999996</v>
      </c>
      <c r="H39" s="17">
        <f>H9/H37</f>
        <v>1.01125</v>
      </c>
      <c r="I39" s="17">
        <f>I9/I37</f>
        <v>0.58133333333333337</v>
      </c>
      <c r="J39" s="17">
        <f>G39+H39+I39</f>
        <v>2.2350833333333333</v>
      </c>
      <c r="K39" s="59">
        <f>K9/K37</f>
        <v>0.60470588235294109</v>
      </c>
      <c r="L39" s="59">
        <f>L9/L37</f>
        <v>1.0570588235294116</v>
      </c>
      <c r="M39" s="59">
        <f>M9/M37</f>
        <v>0.59294117647058819</v>
      </c>
      <c r="N39" s="17">
        <f>SUM(K39:M39)</f>
        <v>2.2547058823529409</v>
      </c>
      <c r="O39" s="59">
        <f>O9/O37</f>
        <v>0.58904761904761904</v>
      </c>
      <c r="P39" s="59">
        <f>P9/P37</f>
        <v>1.2119047619047618</v>
      </c>
      <c r="Q39" s="59">
        <f>Q9/Q37</f>
        <v>0.67523809523809519</v>
      </c>
      <c r="R39" s="17">
        <f>SUM(O39:Q39)</f>
        <v>2.4761904761904763</v>
      </c>
    </row>
    <row r="40" spans="1:22" x14ac:dyDescent="0.3">
      <c r="A40" s="93"/>
      <c r="B40" s="94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</row>
  </sheetData>
  <mergeCells count="6">
    <mergeCell ref="J1:R1"/>
    <mergeCell ref="A6:B6"/>
    <mergeCell ref="C6:F6"/>
    <mergeCell ref="G6:J6"/>
    <mergeCell ref="K6:N6"/>
    <mergeCell ref="O6:R6"/>
  </mergeCells>
  <pageMargins left="0.7" right="0.7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67BA-8E0A-4776-86F8-9FCA4C7D85C8}">
  <sheetPr>
    <pageSetUpPr fitToPage="1"/>
  </sheetPr>
  <dimension ref="A1:W39"/>
  <sheetViews>
    <sheetView topLeftCell="B1" zoomScale="106" zoomScaleNormal="106" workbookViewId="0">
      <selection activeCell="D1" sqref="D1:J1"/>
    </sheetView>
  </sheetViews>
  <sheetFormatPr defaultColWidth="9.109375" defaultRowHeight="15.6" x14ac:dyDescent="0.3"/>
  <cols>
    <col min="1" max="1" width="10.6640625" style="76" customWidth="1"/>
    <col min="2" max="2" width="43" style="79" customWidth="1"/>
    <col min="3" max="10" width="10.6640625" style="76" customWidth="1"/>
    <col min="11" max="11" width="9.109375" style="73" hidden="1" customWidth="1"/>
    <col min="12" max="12" width="10.6640625" style="73" hidden="1" customWidth="1"/>
    <col min="13" max="13" width="10.5546875" style="73" hidden="1" customWidth="1"/>
    <col min="14" max="14" width="35.109375" style="73" hidden="1" customWidth="1"/>
    <col min="15" max="15" width="9.109375" style="75" hidden="1" customWidth="1"/>
    <col min="16" max="23" width="9.109375" style="76" hidden="1" customWidth="1"/>
    <col min="24" max="16384" width="9.109375" style="76"/>
  </cols>
  <sheetData>
    <row r="1" spans="1:23" s="70" customFormat="1" ht="57" customHeight="1" x14ac:dyDescent="0.3">
      <c r="A1" s="66"/>
      <c r="B1" s="66"/>
      <c r="C1" s="66"/>
      <c r="D1" s="14" t="s">
        <v>134</v>
      </c>
      <c r="E1" s="14"/>
      <c r="F1" s="14"/>
      <c r="G1" s="14"/>
      <c r="H1" s="14"/>
      <c r="I1" s="14"/>
      <c r="J1" s="14"/>
      <c r="K1" s="68"/>
      <c r="L1" s="68"/>
      <c r="M1" s="68"/>
      <c r="N1" s="68"/>
      <c r="O1" s="69"/>
    </row>
    <row r="2" spans="1:23" s="70" customFormat="1" x14ac:dyDescent="0.3">
      <c r="A2" s="65"/>
      <c r="B2" s="65"/>
      <c r="C2" s="71"/>
      <c r="D2" s="71"/>
      <c r="E2" s="71"/>
      <c r="F2" s="82"/>
      <c r="G2" s="82"/>
      <c r="H2" s="82"/>
      <c r="I2" s="82"/>
      <c r="J2" s="82"/>
      <c r="K2" s="68"/>
      <c r="L2" s="68"/>
      <c r="M2" s="68"/>
      <c r="N2" s="68"/>
      <c r="O2" s="69"/>
    </row>
    <row r="3" spans="1:23" s="70" customFormat="1" x14ac:dyDescent="0.3">
      <c r="A3" s="64" t="s">
        <v>14</v>
      </c>
      <c r="B3" s="65"/>
      <c r="C3" s="71"/>
      <c r="D3" s="71"/>
      <c r="E3" s="71"/>
      <c r="F3" s="71"/>
      <c r="G3" s="71"/>
      <c r="H3" s="71"/>
      <c r="I3" s="71"/>
      <c r="J3" s="71"/>
      <c r="K3" s="68"/>
      <c r="L3" s="68"/>
      <c r="M3" s="68"/>
      <c r="N3" s="68"/>
      <c r="O3" s="69"/>
    </row>
    <row r="4" spans="1:23" s="70" customFormat="1" x14ac:dyDescent="0.3">
      <c r="A4" s="16" t="s">
        <v>126</v>
      </c>
      <c r="B4" s="66"/>
      <c r="C4" s="65"/>
      <c r="D4" s="71"/>
      <c r="E4" s="71"/>
      <c r="F4" s="71"/>
      <c r="G4" s="71"/>
      <c r="H4" s="71"/>
      <c r="I4" s="71"/>
      <c r="J4" s="71"/>
      <c r="K4" s="68"/>
      <c r="L4" s="68"/>
      <c r="M4" s="68"/>
      <c r="N4" s="68"/>
      <c r="O4" s="69"/>
    </row>
    <row r="6" spans="1:23" ht="31.2" x14ac:dyDescent="0.3">
      <c r="A6" s="9" t="s">
        <v>5</v>
      </c>
      <c r="B6" s="8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L6" s="74" t="s">
        <v>79</v>
      </c>
      <c r="M6" s="74" t="s">
        <v>80</v>
      </c>
      <c r="N6" s="74"/>
    </row>
    <row r="7" spans="1:23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</row>
    <row r="8" spans="1:23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</row>
    <row r="9" spans="1:23" x14ac:dyDescent="0.3">
      <c r="A9" s="58">
        <v>2363</v>
      </c>
      <c r="B9" s="55" t="s">
        <v>18</v>
      </c>
      <c r="C9" s="59">
        <v>25.86</v>
      </c>
      <c r="D9" s="59">
        <v>78.099999999999994</v>
      </c>
      <c r="E9" s="59">
        <v>31.1</v>
      </c>
      <c r="F9" s="59">
        <f>C9+D9+E9</f>
        <v>135.06</v>
      </c>
      <c r="G9" s="59">
        <v>192.44</v>
      </c>
      <c r="H9" s="59">
        <v>527.29999999999995</v>
      </c>
      <c r="I9" s="59">
        <v>225.38</v>
      </c>
      <c r="J9" s="59">
        <f>SUM(G9:I9)</f>
        <v>945.12</v>
      </c>
      <c r="L9" s="77">
        <v>1081.55</v>
      </c>
      <c r="U9" s="76">
        <v>1081.55</v>
      </c>
    </row>
    <row r="10" spans="1:23" x14ac:dyDescent="0.3">
      <c r="A10" s="58">
        <v>1100</v>
      </c>
      <c r="B10" s="55" t="s">
        <v>19</v>
      </c>
      <c r="C10" s="60">
        <f>M10/L9*C9</f>
        <v>32.995977994544866</v>
      </c>
      <c r="D10" s="60">
        <f>M10/L9*D9</f>
        <v>99.651426193888398</v>
      </c>
      <c r="E10" s="60">
        <f>M10/L9*E9</f>
        <v>39.681937959410106</v>
      </c>
      <c r="F10" s="60">
        <f>SUM(C10:E10)</f>
        <v>172.32934214784336</v>
      </c>
      <c r="G10" s="60">
        <f>M10/L9*G9</f>
        <v>245.54315565623412</v>
      </c>
      <c r="H10" s="60">
        <f>M10/L9*H9</f>
        <v>672.80662012851917</v>
      </c>
      <c r="I10" s="60">
        <f>M10/L9*I9</f>
        <v>287.57283528269613</v>
      </c>
      <c r="J10" s="60">
        <f>SUM(G10:I10)</f>
        <v>1205.9226110674495</v>
      </c>
      <c r="M10" s="73">
        <v>1380</v>
      </c>
    </row>
    <row r="11" spans="1:23" ht="46.8" x14ac:dyDescent="0.3">
      <c r="A11" s="58">
        <v>1200</v>
      </c>
      <c r="B11" s="55" t="s">
        <v>20</v>
      </c>
      <c r="C11" s="60">
        <f>M11/L9*C9</f>
        <v>7.7837512089131335</v>
      </c>
      <c r="D11" s="60">
        <f>M11/L9*D9</f>
        <v>23.507771439138271</v>
      </c>
      <c r="E11" s="60">
        <f>M11/L9*E9</f>
        <v>9.3609691646248443</v>
      </c>
      <c r="F11" s="60">
        <f>SUM(C11:E11)</f>
        <v>40.652491812676246</v>
      </c>
      <c r="G11" s="60">
        <f>M11/L9*G9</f>
        <v>57.923630419305624</v>
      </c>
      <c r="H11" s="60">
        <f>M11/L9*H9</f>
        <v>158.71508168831767</v>
      </c>
      <c r="I11" s="60">
        <f>M11/L9*I9</f>
        <v>67.838431843188019</v>
      </c>
      <c r="J11" s="60">
        <f>SUM(G11:I11)</f>
        <v>284.4771439508113</v>
      </c>
      <c r="M11" s="73">
        <f>M10*0.2359</f>
        <v>325.54199999999997</v>
      </c>
    </row>
    <row r="12" spans="1:23" x14ac:dyDescent="0.3">
      <c r="A12" s="58">
        <v>2222</v>
      </c>
      <c r="B12" s="55" t="s">
        <v>21</v>
      </c>
      <c r="C12" s="60">
        <f>M12/L9*C9</f>
        <v>5.6695697841061445</v>
      </c>
      <c r="D12" s="60">
        <f>M12/L9*D9</f>
        <v>17.122714622532477</v>
      </c>
      <c r="E12" s="60">
        <f>M12/L9*E9</f>
        <v>6.8183921224169026</v>
      </c>
      <c r="F12" s="60">
        <f t="shared" ref="F12:F13" si="0">SUM(C12:E12)</f>
        <v>29.610676529055524</v>
      </c>
      <c r="G12" s="60">
        <f>M12/L9*G9</f>
        <v>42.190719615366838</v>
      </c>
      <c r="H12" s="60">
        <f>M12/L9*H9</f>
        <v>115.60572881512644</v>
      </c>
      <c r="I12" s="60">
        <f>M12/L9*I9</f>
        <v>49.412515001618047</v>
      </c>
      <c r="J12" s="60">
        <f t="shared" ref="J12:J13" si="1">SUM(G12:I12)</f>
        <v>207.20896343211132</v>
      </c>
      <c r="M12" s="73">
        <f>1824*0.13</f>
        <v>237.12</v>
      </c>
      <c r="N12" s="68"/>
    </row>
    <row r="13" spans="1:23" x14ac:dyDescent="0.3">
      <c r="A13" s="58">
        <v>2223</v>
      </c>
      <c r="B13" s="55" t="s">
        <v>22</v>
      </c>
      <c r="C13" s="60">
        <f>M13/L9*C9</f>
        <v>0</v>
      </c>
      <c r="D13" s="60">
        <f>M13/L9*D9</f>
        <v>0</v>
      </c>
      <c r="E13" s="60">
        <f>M13/L9*E9</f>
        <v>0</v>
      </c>
      <c r="F13" s="60">
        <f t="shared" si="0"/>
        <v>0</v>
      </c>
      <c r="G13" s="60">
        <f>M13/L9*G9</f>
        <v>0</v>
      </c>
      <c r="H13" s="60">
        <f>M13/L9*H9</f>
        <v>0</v>
      </c>
      <c r="I13" s="60">
        <f>M13/L9*I9</f>
        <v>0</v>
      </c>
      <c r="J13" s="60">
        <f t="shared" si="1"/>
        <v>0</v>
      </c>
      <c r="N13" s="68"/>
    </row>
    <row r="14" spans="1:23" x14ac:dyDescent="0.3">
      <c r="A14" s="56"/>
      <c r="B14" s="61" t="s">
        <v>23</v>
      </c>
      <c r="C14" s="60">
        <f>SUM(C9:C13)</f>
        <v>72.309298987564148</v>
      </c>
      <c r="D14" s="60">
        <f t="shared" ref="D14:J14" si="2">SUM(D9:D13)</f>
        <v>218.38191225555914</v>
      </c>
      <c r="E14" s="60">
        <f t="shared" si="2"/>
        <v>86.961299246451858</v>
      </c>
      <c r="F14" s="60">
        <f t="shared" si="2"/>
        <v>377.65251048957515</v>
      </c>
      <c r="G14" s="60">
        <f t="shared" si="2"/>
        <v>538.09750569090647</v>
      </c>
      <c r="H14" s="60">
        <f t="shared" si="2"/>
        <v>1474.4274306319633</v>
      </c>
      <c r="I14" s="60">
        <f t="shared" si="2"/>
        <v>630.20378212750222</v>
      </c>
      <c r="J14" s="60">
        <f t="shared" si="2"/>
        <v>2642.7287184503721</v>
      </c>
      <c r="M14" s="87">
        <f>SUM(M10:M13)</f>
        <v>1942.6619999999998</v>
      </c>
    </row>
    <row r="15" spans="1:23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</row>
    <row r="16" spans="1:23" x14ac:dyDescent="0.3">
      <c r="A16" s="58">
        <v>1100</v>
      </c>
      <c r="B16" s="55" t="s">
        <v>25</v>
      </c>
      <c r="C16" s="60">
        <f t="shared" ref="C16:J34" si="3">$V16/$U$9*C$9</f>
        <v>57.427347787897006</v>
      </c>
      <c r="D16" s="60">
        <f t="shared" si="3"/>
        <v>173.43680828440665</v>
      </c>
      <c r="E16" s="60">
        <f t="shared" si="3"/>
        <v>69.063825065877694</v>
      </c>
      <c r="F16" s="60">
        <f t="shared" si="3"/>
        <v>299.92798113818139</v>
      </c>
      <c r="G16" s="60">
        <f t="shared" si="3"/>
        <v>427.35184873561099</v>
      </c>
      <c r="H16" s="60">
        <f t="shared" si="3"/>
        <v>1170.9760436410709</v>
      </c>
      <c r="I16" s="60">
        <f t="shared" si="3"/>
        <v>500.50176505940556</v>
      </c>
      <c r="J16" s="60">
        <f t="shared" si="3"/>
        <v>2098.8296574360875</v>
      </c>
      <c r="V16" s="70">
        <v>2401.8000000000002</v>
      </c>
      <c r="W16" s="70"/>
    </row>
    <row r="17" spans="1:23" ht="46.8" x14ac:dyDescent="0.3">
      <c r="A17" s="58">
        <v>1200</v>
      </c>
      <c r="B17" s="55" t="s">
        <v>26</v>
      </c>
      <c r="C17" s="60">
        <f t="shared" si="3"/>
        <v>13.547111343164906</v>
      </c>
      <c r="D17" s="60">
        <f t="shared" si="3"/>
        <v>40.913743074291531</v>
      </c>
      <c r="E17" s="60">
        <f t="shared" si="3"/>
        <v>16.292156333040548</v>
      </c>
      <c r="F17" s="60">
        <f t="shared" si="3"/>
        <v>70.753010750496998</v>
      </c>
      <c r="G17" s="60">
        <f t="shared" si="3"/>
        <v>100.81230111673064</v>
      </c>
      <c r="H17" s="60">
        <f t="shared" si="3"/>
        <v>276.23324869492865</v>
      </c>
      <c r="I17" s="60">
        <f t="shared" si="3"/>
        <v>118.06836637751378</v>
      </c>
      <c r="J17" s="60">
        <f t="shared" si="3"/>
        <v>495.1139161891731</v>
      </c>
      <c r="V17" s="70">
        <f>V16*0.2359</f>
        <v>566.58462000000009</v>
      </c>
      <c r="W17" s="70"/>
    </row>
    <row r="18" spans="1:23" x14ac:dyDescent="0.3">
      <c r="A18" s="58">
        <v>2210</v>
      </c>
      <c r="B18" s="55" t="s">
        <v>27</v>
      </c>
      <c r="C18" s="60">
        <f t="shared" si="3"/>
        <v>0.1331794184272572</v>
      </c>
      <c r="D18" s="60">
        <f t="shared" si="3"/>
        <v>0.40221626369562202</v>
      </c>
      <c r="E18" s="60">
        <f t="shared" si="3"/>
        <v>0.1601655032129814</v>
      </c>
      <c r="F18" s="60">
        <f t="shared" si="3"/>
        <v>0.69556118533586064</v>
      </c>
      <c r="G18" s="60">
        <f t="shared" si="3"/>
        <v>0.99106911377190154</v>
      </c>
      <c r="H18" s="60">
        <f t="shared" si="3"/>
        <v>2.715603531968009</v>
      </c>
      <c r="I18" s="60">
        <f t="shared" si="3"/>
        <v>1.1607106467569692</v>
      </c>
      <c r="J18" s="60">
        <f t="shared" si="3"/>
        <v>4.8673832924968803</v>
      </c>
      <c r="V18" s="24">
        <v>5.57</v>
      </c>
      <c r="W18" s="24" t="s">
        <v>108</v>
      </c>
    </row>
    <row r="19" spans="1:23" x14ac:dyDescent="0.3">
      <c r="A19" s="58">
        <v>2221</v>
      </c>
      <c r="B19" s="55" t="s">
        <v>28</v>
      </c>
      <c r="C19" s="60">
        <f t="shared" si="3"/>
        <v>0</v>
      </c>
      <c r="D19" s="60">
        <f t="shared" si="3"/>
        <v>0</v>
      </c>
      <c r="E19" s="60">
        <f t="shared" si="3"/>
        <v>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60">
        <f t="shared" si="3"/>
        <v>0</v>
      </c>
      <c r="J19" s="60">
        <f t="shared" si="3"/>
        <v>0</v>
      </c>
      <c r="V19" s="24">
        <v>0</v>
      </c>
      <c r="W19" s="24" t="s">
        <v>89</v>
      </c>
    </row>
    <row r="20" spans="1:23" x14ac:dyDescent="0.3">
      <c r="A20" s="58">
        <v>2224</v>
      </c>
      <c r="B20" s="55" t="s">
        <v>29</v>
      </c>
      <c r="C20" s="60">
        <f t="shared" si="3"/>
        <v>7.1730386944662758E-2</v>
      </c>
      <c r="D20" s="60">
        <f t="shared" si="3"/>
        <v>0.21663353520410522</v>
      </c>
      <c r="E20" s="60">
        <f t="shared" si="3"/>
        <v>8.6265082520456768E-2</v>
      </c>
      <c r="F20" s="60">
        <f t="shared" si="3"/>
        <v>0.37462900466922477</v>
      </c>
      <c r="G20" s="60">
        <f t="shared" si="3"/>
        <v>0.53378946881790035</v>
      </c>
      <c r="H20" s="60">
        <f t="shared" si="3"/>
        <v>1.4626230872359114</v>
      </c>
      <c r="I20" s="60">
        <f t="shared" si="3"/>
        <v>0.62515833757107864</v>
      </c>
      <c r="J20" s="60">
        <f t="shared" si="3"/>
        <v>2.6215708936248907</v>
      </c>
      <c r="V20" s="24">
        <v>3</v>
      </c>
      <c r="W20" s="24" t="s">
        <v>90</v>
      </c>
    </row>
    <row r="21" spans="1:23" x14ac:dyDescent="0.3">
      <c r="A21" s="58">
        <v>2234</v>
      </c>
      <c r="B21" s="55" t="s">
        <v>30</v>
      </c>
      <c r="C21" s="60">
        <f t="shared" si="3"/>
        <v>1.434607738893255</v>
      </c>
      <c r="D21" s="60">
        <f t="shared" si="3"/>
        <v>4.332670704082104</v>
      </c>
      <c r="E21" s="60">
        <f t="shared" si="3"/>
        <v>1.7253016504091352</v>
      </c>
      <c r="F21" s="60">
        <f t="shared" si="3"/>
        <v>7.492580093384495</v>
      </c>
      <c r="G21" s="60">
        <f t="shared" si="3"/>
        <v>10.675789376358004</v>
      </c>
      <c r="H21" s="60">
        <f t="shared" si="3"/>
        <v>29.252461744718225</v>
      </c>
      <c r="I21" s="60">
        <f t="shared" si="3"/>
        <v>12.503166751421571</v>
      </c>
      <c r="J21" s="60">
        <f t="shared" si="3"/>
        <v>52.431417872497804</v>
      </c>
      <c r="V21" s="24">
        <f>2*30</f>
        <v>60</v>
      </c>
      <c r="W21" s="24" t="s">
        <v>91</v>
      </c>
    </row>
    <row r="22" spans="1:23" x14ac:dyDescent="0.3">
      <c r="A22" s="58">
        <v>2235</v>
      </c>
      <c r="B22" s="55" t="s">
        <v>31</v>
      </c>
      <c r="C22" s="60">
        <f t="shared" si="3"/>
        <v>0.95640515926217007</v>
      </c>
      <c r="D22" s="60">
        <f t="shared" si="3"/>
        <v>2.8884471360547361</v>
      </c>
      <c r="E22" s="60">
        <f t="shared" si="3"/>
        <v>1.1502011002727568</v>
      </c>
      <c r="F22" s="60">
        <f t="shared" si="3"/>
        <v>4.9950533955896637</v>
      </c>
      <c r="G22" s="60">
        <f t="shared" si="3"/>
        <v>7.1171929175720035</v>
      </c>
      <c r="H22" s="60">
        <f t="shared" si="3"/>
        <v>19.501641163145486</v>
      </c>
      <c r="I22" s="60">
        <f t="shared" si="3"/>
        <v>8.3354445009477143</v>
      </c>
      <c r="J22" s="60">
        <f t="shared" si="3"/>
        <v>34.954278581665207</v>
      </c>
      <c r="V22" s="24">
        <f>2*20</f>
        <v>40</v>
      </c>
      <c r="W22" s="24" t="s">
        <v>92</v>
      </c>
    </row>
    <row r="23" spans="1:23" x14ac:dyDescent="0.3">
      <c r="A23" s="58">
        <v>2243</v>
      </c>
      <c r="B23" s="55" t="s">
        <v>32</v>
      </c>
      <c r="C23" s="60">
        <f t="shared" si="3"/>
        <v>0.12959289908002405</v>
      </c>
      <c r="D23" s="60">
        <f t="shared" si="3"/>
        <v>0.39138458693541672</v>
      </c>
      <c r="E23" s="60">
        <f t="shared" si="3"/>
        <v>0.15585224908695855</v>
      </c>
      <c r="F23" s="60">
        <f t="shared" si="3"/>
        <v>0.67682973510239941</v>
      </c>
      <c r="G23" s="60">
        <f t="shared" si="3"/>
        <v>0.96437964033100643</v>
      </c>
      <c r="H23" s="60">
        <f t="shared" si="3"/>
        <v>2.6424723776062131</v>
      </c>
      <c r="I23" s="60">
        <f t="shared" si="3"/>
        <v>1.1294527298784152</v>
      </c>
      <c r="J23" s="60">
        <f t="shared" si="3"/>
        <v>4.7363047478156348</v>
      </c>
      <c r="V23" s="24">
        <v>5.42</v>
      </c>
      <c r="W23" s="24" t="s">
        <v>93</v>
      </c>
    </row>
    <row r="24" spans="1:23" x14ac:dyDescent="0.3">
      <c r="A24" s="58">
        <v>2244</v>
      </c>
      <c r="B24" s="55" t="s">
        <v>33</v>
      </c>
      <c r="C24" s="60">
        <f t="shared" si="3"/>
        <v>0.40288567333918918</v>
      </c>
      <c r="D24" s="60">
        <f t="shared" si="3"/>
        <v>1.2167583560630577</v>
      </c>
      <c r="E24" s="60">
        <f t="shared" si="3"/>
        <v>0.48452221348989882</v>
      </c>
      <c r="F24" s="60">
        <f t="shared" si="3"/>
        <v>2.1041662428921457</v>
      </c>
      <c r="G24" s="60">
        <f t="shared" si="3"/>
        <v>2.9981175165272065</v>
      </c>
      <c r="H24" s="60">
        <f t="shared" si="3"/>
        <v>8.2150663399750368</v>
      </c>
      <c r="I24" s="60">
        <f t="shared" si="3"/>
        <v>3.511305996024225</v>
      </c>
      <c r="J24" s="60">
        <f t="shared" si="3"/>
        <v>14.724489852526469</v>
      </c>
      <c r="V24" s="24">
        <v>16.850000000000001</v>
      </c>
      <c r="W24" s="24" t="s">
        <v>94</v>
      </c>
    </row>
    <row r="25" spans="1:23" x14ac:dyDescent="0.3">
      <c r="A25" s="58">
        <v>2247</v>
      </c>
      <c r="B25" s="55" t="s">
        <v>34</v>
      </c>
      <c r="C25" s="60">
        <f t="shared" si="3"/>
        <v>1.8171698025981231E-2</v>
      </c>
      <c r="D25" s="60">
        <f t="shared" si="3"/>
        <v>5.4880495585039983E-2</v>
      </c>
      <c r="E25" s="60">
        <f t="shared" si="3"/>
        <v>2.185382090518238E-2</v>
      </c>
      <c r="F25" s="60">
        <f t="shared" si="3"/>
        <v>9.4906014516203605E-2</v>
      </c>
      <c r="G25" s="60">
        <f t="shared" si="3"/>
        <v>0.13522666543386805</v>
      </c>
      <c r="H25" s="60">
        <f t="shared" si="3"/>
        <v>0.37053118209976421</v>
      </c>
      <c r="I25" s="60">
        <f t="shared" si="3"/>
        <v>0.15837344551800656</v>
      </c>
      <c r="J25" s="60">
        <f t="shared" si="3"/>
        <v>0.66413129305163887</v>
      </c>
      <c r="V25" s="24">
        <v>0.76</v>
      </c>
      <c r="W25" s="25" t="s">
        <v>95</v>
      </c>
    </row>
    <row r="26" spans="1:23" x14ac:dyDescent="0.3">
      <c r="A26" s="58">
        <v>2251</v>
      </c>
      <c r="B26" s="55" t="s">
        <v>35</v>
      </c>
      <c r="C26" s="60">
        <f t="shared" si="3"/>
        <v>0</v>
      </c>
      <c r="D26" s="60">
        <f t="shared" si="3"/>
        <v>0</v>
      </c>
      <c r="E26" s="60">
        <f t="shared" si="3"/>
        <v>0</v>
      </c>
      <c r="F26" s="60">
        <f t="shared" si="3"/>
        <v>0</v>
      </c>
      <c r="G26" s="60">
        <f t="shared" si="3"/>
        <v>0</v>
      </c>
      <c r="H26" s="60">
        <f t="shared" si="3"/>
        <v>0</v>
      </c>
      <c r="I26" s="60">
        <f t="shared" si="3"/>
        <v>0</v>
      </c>
      <c r="J26" s="60">
        <f t="shared" si="3"/>
        <v>0</v>
      </c>
      <c r="V26" s="24">
        <v>0</v>
      </c>
      <c r="W26" s="26" t="s">
        <v>96</v>
      </c>
    </row>
    <row r="27" spans="1:23" x14ac:dyDescent="0.3">
      <c r="A27" s="58">
        <v>2311</v>
      </c>
      <c r="B27" s="55" t="s">
        <v>36</v>
      </c>
      <c r="C27" s="60">
        <f t="shared" si="3"/>
        <v>7.0773981785400591E-2</v>
      </c>
      <c r="D27" s="60">
        <f t="shared" si="3"/>
        <v>0.21374508806805048</v>
      </c>
      <c r="E27" s="60">
        <f t="shared" si="3"/>
        <v>8.5114881420184002E-2</v>
      </c>
      <c r="F27" s="60">
        <f t="shared" si="3"/>
        <v>0.36963395127363508</v>
      </c>
      <c r="G27" s="60">
        <f t="shared" si="3"/>
        <v>0.52667227590032828</v>
      </c>
      <c r="H27" s="60">
        <f t="shared" si="3"/>
        <v>1.4431214460727659</v>
      </c>
      <c r="I27" s="60">
        <f t="shared" si="3"/>
        <v>0.61682289307013083</v>
      </c>
      <c r="J27" s="60">
        <f t="shared" si="3"/>
        <v>2.586616615043225</v>
      </c>
      <c r="V27" s="24">
        <v>2.96</v>
      </c>
      <c r="W27" s="24" t="s">
        <v>97</v>
      </c>
    </row>
    <row r="28" spans="1:23" x14ac:dyDescent="0.3">
      <c r="A28" s="58">
        <v>2312</v>
      </c>
      <c r="B28" s="55" t="s">
        <v>37</v>
      </c>
      <c r="C28" s="60">
        <f t="shared" si="3"/>
        <v>0.83996283112200087</v>
      </c>
      <c r="D28" s="60">
        <f t="shared" si="3"/>
        <v>2.5367786972400723</v>
      </c>
      <c r="E28" s="60">
        <f t="shared" si="3"/>
        <v>1.0101641163145487</v>
      </c>
      <c r="F28" s="60">
        <f t="shared" si="3"/>
        <v>4.3869056446766219</v>
      </c>
      <c r="G28" s="60">
        <f t="shared" si="3"/>
        <v>6.250674679857612</v>
      </c>
      <c r="H28" s="60">
        <f t="shared" si="3"/>
        <v>17.127316351532524</v>
      </c>
      <c r="I28" s="60">
        <f t="shared" si="3"/>
        <v>7.3206041329573308</v>
      </c>
      <c r="J28" s="60">
        <f t="shared" si="3"/>
        <v>30.698595164347466</v>
      </c>
      <c r="V28" s="24">
        <v>35.130000000000003</v>
      </c>
      <c r="W28" s="24" t="s">
        <v>98</v>
      </c>
    </row>
    <row r="29" spans="1:23" x14ac:dyDescent="0.3">
      <c r="A29" s="58">
        <v>2321</v>
      </c>
      <c r="B29" s="55" t="s">
        <v>38</v>
      </c>
      <c r="C29" s="60">
        <f t="shared" si="3"/>
        <v>1.3597690351809901</v>
      </c>
      <c r="D29" s="60">
        <f t="shared" si="3"/>
        <v>4.1066497156858208</v>
      </c>
      <c r="E29" s="60">
        <f t="shared" si="3"/>
        <v>1.6352984143127918</v>
      </c>
      <c r="F29" s="60">
        <f t="shared" si="3"/>
        <v>7.1017171651796032</v>
      </c>
      <c r="G29" s="60">
        <f t="shared" si="3"/>
        <v>10.118869030557995</v>
      </c>
      <c r="H29" s="60">
        <f t="shared" si="3"/>
        <v>27.72645832370209</v>
      </c>
      <c r="I29" s="60">
        <f t="shared" si="3"/>
        <v>11.850918219222411</v>
      </c>
      <c r="J29" s="60">
        <f t="shared" si="3"/>
        <v>49.6962455734825</v>
      </c>
      <c r="V29" s="24">
        <v>56.87</v>
      </c>
      <c r="W29" s="24" t="s">
        <v>99</v>
      </c>
    </row>
    <row r="30" spans="1:23" x14ac:dyDescent="0.3">
      <c r="A30" s="58">
        <v>2341</v>
      </c>
      <c r="B30" s="55" t="s">
        <v>39</v>
      </c>
      <c r="C30" s="60">
        <f t="shared" si="3"/>
        <v>1.91281031852434E-3</v>
      </c>
      <c r="D30" s="60">
        <f t="shared" si="3"/>
        <v>5.7768942721094724E-3</v>
      </c>
      <c r="E30" s="60">
        <f t="shared" si="3"/>
        <v>2.3004022005455134E-3</v>
      </c>
      <c r="F30" s="60">
        <f t="shared" si="3"/>
        <v>9.9901067911793255E-3</v>
      </c>
      <c r="G30" s="60">
        <f t="shared" si="3"/>
        <v>1.4234385835144006E-2</v>
      </c>
      <c r="H30" s="60">
        <f t="shared" si="3"/>
        <v>3.9003282326290967E-2</v>
      </c>
      <c r="I30" s="60">
        <f t="shared" si="3"/>
        <v>1.6670889001895429E-2</v>
      </c>
      <c r="J30" s="60">
        <f t="shared" si="3"/>
        <v>6.9908557163330401E-2</v>
      </c>
      <c r="V30" s="24">
        <v>0.08</v>
      </c>
      <c r="W30" s="24" t="s">
        <v>100</v>
      </c>
    </row>
    <row r="31" spans="1:23" x14ac:dyDescent="0.3">
      <c r="A31" s="58">
        <v>2351</v>
      </c>
      <c r="B31" s="55" t="s">
        <v>40</v>
      </c>
      <c r="C31" s="60">
        <f t="shared" si="3"/>
        <v>0.30126762516758354</v>
      </c>
      <c r="D31" s="60">
        <f t="shared" si="3"/>
        <v>0.90986084785724186</v>
      </c>
      <c r="E31" s="60">
        <f t="shared" si="3"/>
        <v>0.36231334658591835</v>
      </c>
      <c r="F31" s="60">
        <f t="shared" si="3"/>
        <v>1.5734418196107438</v>
      </c>
      <c r="G31" s="60">
        <f t="shared" si="3"/>
        <v>2.241915769035181</v>
      </c>
      <c r="H31" s="60">
        <f t="shared" si="3"/>
        <v>6.1430169663908272</v>
      </c>
      <c r="I31" s="60">
        <f t="shared" si="3"/>
        <v>2.6256650177985299</v>
      </c>
      <c r="J31" s="60">
        <f t="shared" si="3"/>
        <v>11.010597753224539</v>
      </c>
      <c r="V31" s="24">
        <v>12.6</v>
      </c>
      <c r="W31" s="24" t="s">
        <v>97</v>
      </c>
    </row>
    <row r="32" spans="1:23" x14ac:dyDescent="0.3">
      <c r="A32" s="58">
        <v>2352</v>
      </c>
      <c r="B32" s="55" t="s">
        <v>41</v>
      </c>
      <c r="C32" s="60">
        <f t="shared" si="3"/>
        <v>0.32995977994544873</v>
      </c>
      <c r="D32" s="60">
        <f t="shared" si="3"/>
        <v>0.99651426193888404</v>
      </c>
      <c r="E32" s="60">
        <f t="shared" si="3"/>
        <v>0.39681937959410113</v>
      </c>
      <c r="F32" s="60">
        <f t="shared" si="3"/>
        <v>1.7232934214784339</v>
      </c>
      <c r="G32" s="60">
        <f t="shared" si="3"/>
        <v>2.4554315565623415</v>
      </c>
      <c r="H32" s="60">
        <f t="shared" si="3"/>
        <v>6.7280662012851931</v>
      </c>
      <c r="I32" s="60">
        <f t="shared" si="3"/>
        <v>2.8757283528269615</v>
      </c>
      <c r="J32" s="60">
        <f t="shared" si="3"/>
        <v>12.059226110674496</v>
      </c>
      <c r="V32" s="24">
        <v>13.8</v>
      </c>
      <c r="W32" s="24" t="s">
        <v>98</v>
      </c>
    </row>
    <row r="33" spans="1:23" x14ac:dyDescent="0.3">
      <c r="A33" s="58">
        <v>2362</v>
      </c>
      <c r="B33" s="55" t="s">
        <v>42</v>
      </c>
      <c r="C33" s="60">
        <f t="shared" si="3"/>
        <v>0.59966603485738057</v>
      </c>
      <c r="D33" s="60">
        <f t="shared" si="3"/>
        <v>1.8110563543063194</v>
      </c>
      <c r="E33" s="60">
        <f t="shared" si="3"/>
        <v>0.72117608987101844</v>
      </c>
      <c r="F33" s="60">
        <f t="shared" si="3"/>
        <v>3.1318984790347186</v>
      </c>
      <c r="G33" s="60">
        <f t="shared" si="3"/>
        <v>4.4624799593176459</v>
      </c>
      <c r="H33" s="60">
        <f t="shared" si="3"/>
        <v>12.227529009292219</v>
      </c>
      <c r="I33" s="60">
        <f t="shared" si="3"/>
        <v>5.2263237020942164</v>
      </c>
      <c r="J33" s="60">
        <f t="shared" si="3"/>
        <v>21.916332670704083</v>
      </c>
      <c r="V33" s="24">
        <v>25.08</v>
      </c>
      <c r="W33" s="25" t="s">
        <v>101</v>
      </c>
    </row>
    <row r="34" spans="1:23" x14ac:dyDescent="0.3">
      <c r="A34" s="58" t="s">
        <v>13</v>
      </c>
      <c r="B34" s="55" t="s">
        <v>43</v>
      </c>
      <c r="C34" s="60">
        <f t="shared" si="3"/>
        <v>0.6458125837917803</v>
      </c>
      <c r="D34" s="60">
        <f t="shared" si="3"/>
        <v>1.9504239286209606</v>
      </c>
      <c r="E34" s="60">
        <f t="shared" si="3"/>
        <v>0.77667329295917908</v>
      </c>
      <c r="F34" s="60">
        <f t="shared" si="3"/>
        <v>3.3729098053719202</v>
      </c>
      <c r="G34" s="60">
        <f t="shared" si="3"/>
        <v>4.8058845175904956</v>
      </c>
      <c r="H34" s="60">
        <f t="shared" si="3"/>
        <v>13.168483195413989</v>
      </c>
      <c r="I34" s="60">
        <f t="shared" si="3"/>
        <v>5.6285088992649444</v>
      </c>
      <c r="J34" s="60">
        <f t="shared" si="3"/>
        <v>23.60287661226943</v>
      </c>
      <c r="V34" s="24">
        <v>27.01</v>
      </c>
      <c r="W34" s="25" t="s">
        <v>43</v>
      </c>
    </row>
    <row r="35" spans="1:23" x14ac:dyDescent="0.3">
      <c r="A35" s="56"/>
      <c r="B35" s="61" t="s">
        <v>44</v>
      </c>
      <c r="C35" s="60">
        <f>SUM(C16:C34)</f>
        <v>78.270156787203561</v>
      </c>
      <c r="D35" s="60">
        <f t="shared" ref="D35:J35" si="4">SUM(D16:D34)</f>
        <v>236.38434822430767</v>
      </c>
      <c r="E35" s="60">
        <f t="shared" si="4"/>
        <v>94.130002942073887</v>
      </c>
      <c r="F35" s="60">
        <f t="shared" si="4"/>
        <v>408.78450795358515</v>
      </c>
      <c r="G35" s="60">
        <f t="shared" si="4"/>
        <v>582.45587672581019</v>
      </c>
      <c r="H35" s="60">
        <f t="shared" si="4"/>
        <v>1595.9726865387643</v>
      </c>
      <c r="I35" s="60">
        <f t="shared" si="4"/>
        <v>682.15498595127372</v>
      </c>
      <c r="J35" s="60">
        <f t="shared" si="4"/>
        <v>2860.5835492158471</v>
      </c>
    </row>
    <row r="36" spans="1:23" ht="19.5" customHeight="1" x14ac:dyDescent="0.3">
      <c r="A36" s="55"/>
      <c r="B36" s="55" t="s">
        <v>45</v>
      </c>
      <c r="C36" s="60">
        <f>C14+C35</f>
        <v>150.57945577476772</v>
      </c>
      <c r="D36" s="60">
        <f t="shared" ref="D36:J36" si="5">D14+D35</f>
        <v>454.76626047986679</v>
      </c>
      <c r="E36" s="60">
        <f t="shared" si="5"/>
        <v>181.09130218852573</v>
      </c>
      <c r="F36" s="60">
        <f t="shared" si="5"/>
        <v>786.43701844316024</v>
      </c>
      <c r="G36" s="60">
        <f t="shared" si="5"/>
        <v>1120.5533824167167</v>
      </c>
      <c r="H36" s="60">
        <f t="shared" si="5"/>
        <v>3070.4001171707278</v>
      </c>
      <c r="I36" s="60">
        <f t="shared" si="5"/>
        <v>1312.3587680787759</v>
      </c>
      <c r="J36" s="60">
        <f t="shared" si="5"/>
        <v>5503.3122676662188</v>
      </c>
    </row>
    <row r="37" spans="1:23" ht="37.5" customHeight="1" x14ac:dyDescent="0.3">
      <c r="A37" s="55"/>
      <c r="B37" s="55" t="s">
        <v>46</v>
      </c>
      <c r="C37" s="62">
        <v>107</v>
      </c>
      <c r="D37" s="62">
        <v>107</v>
      </c>
      <c r="E37" s="62">
        <v>107</v>
      </c>
      <c r="F37" s="62" t="s">
        <v>47</v>
      </c>
      <c r="G37" s="62">
        <v>625</v>
      </c>
      <c r="H37" s="62">
        <v>639</v>
      </c>
      <c r="I37" s="62">
        <v>625</v>
      </c>
      <c r="J37" s="62" t="s">
        <v>47</v>
      </c>
    </row>
    <row r="38" spans="1:23" ht="51.75" customHeight="1" x14ac:dyDescent="0.3">
      <c r="A38" s="55"/>
      <c r="B38" s="55" t="s">
        <v>122</v>
      </c>
      <c r="C38" s="60">
        <f>C14/C37</f>
        <v>0.67578784100527245</v>
      </c>
      <c r="D38" s="60">
        <f t="shared" ref="D38:E38" si="6">D14/D37</f>
        <v>2.0409524509865342</v>
      </c>
      <c r="E38" s="60">
        <f t="shared" si="6"/>
        <v>0.81272242286403606</v>
      </c>
      <c r="F38" s="60">
        <f>SUM(C38:E38)</f>
        <v>3.5294627148558426</v>
      </c>
      <c r="G38" s="60">
        <f>G14/G37</f>
        <v>0.86095600910545034</v>
      </c>
      <c r="H38" s="63">
        <f t="shared" ref="H38:I38" si="7">H14/H37</f>
        <v>2.3073981700030726</v>
      </c>
      <c r="I38" s="60">
        <f t="shared" si="7"/>
        <v>1.0083260514040036</v>
      </c>
      <c r="J38" s="60">
        <f>SUM(G38:I38)</f>
        <v>4.1766802305125266</v>
      </c>
    </row>
    <row r="39" spans="1:23" ht="66" customHeight="1" x14ac:dyDescent="0.3">
      <c r="A39" s="29"/>
      <c r="B39" s="55" t="s">
        <v>125</v>
      </c>
      <c r="C39" s="17">
        <f>C9/C37</f>
        <v>0.24168224299065419</v>
      </c>
      <c r="D39" s="17">
        <f>D9/D37</f>
        <v>0.72990654205607475</v>
      </c>
      <c r="E39" s="17">
        <f>E9/E37</f>
        <v>0.29065420560747662</v>
      </c>
      <c r="F39" s="17">
        <f>SUM(C39:E39)</f>
        <v>1.2622429906542056</v>
      </c>
      <c r="G39" s="17">
        <f>G9/G37</f>
        <v>0.30790400000000001</v>
      </c>
      <c r="H39" s="17">
        <f>H9/H37</f>
        <v>0.82519561815336451</v>
      </c>
      <c r="I39" s="17">
        <f>I9/I37</f>
        <v>0.36060799999999998</v>
      </c>
      <c r="J39" s="17">
        <f>G39+H39+I39</f>
        <v>1.4937076181533646</v>
      </c>
    </row>
  </sheetData>
  <mergeCells count="4">
    <mergeCell ref="C6:F6"/>
    <mergeCell ref="G6:J6"/>
    <mergeCell ref="D1:J1"/>
    <mergeCell ref="A6:B6"/>
  </mergeCells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FDE4-4353-479E-B69D-BF8CB7223E72}">
  <sheetPr>
    <pageSetUpPr fitToPage="1"/>
  </sheetPr>
  <dimension ref="A1:W39"/>
  <sheetViews>
    <sheetView topLeftCell="A10" zoomScale="106" zoomScaleNormal="106" workbookViewId="0">
      <selection activeCell="C1" sqref="C1:J1"/>
    </sheetView>
  </sheetViews>
  <sheetFormatPr defaultColWidth="9.109375" defaultRowHeight="15.6" x14ac:dyDescent="0.3"/>
  <cols>
    <col min="1" max="1" width="17.109375" style="76" customWidth="1"/>
    <col min="2" max="2" width="48.5546875" style="79" customWidth="1"/>
    <col min="3" max="10" width="10.6640625" style="76" customWidth="1"/>
    <col min="11" max="11" width="9.109375" style="73" hidden="1" customWidth="1"/>
    <col min="12" max="12" width="10.33203125" style="73" hidden="1" customWidth="1"/>
    <col min="13" max="13" width="9.109375" style="73" hidden="1" customWidth="1"/>
    <col min="14" max="14" width="27.5546875" style="73" hidden="1" customWidth="1"/>
    <col min="15" max="23" width="9.109375" style="76" hidden="1" customWidth="1"/>
    <col min="24" max="25" width="0" style="76" hidden="1" customWidth="1"/>
    <col min="26" max="16384" width="9.109375" style="76"/>
  </cols>
  <sheetData>
    <row r="1" spans="1:22" s="70" customFormat="1" ht="46.5" customHeight="1" x14ac:dyDescent="0.3">
      <c r="A1" s="66"/>
      <c r="B1" s="66"/>
      <c r="C1" s="14" t="s">
        <v>135</v>
      </c>
      <c r="D1" s="14"/>
      <c r="E1" s="14"/>
      <c r="F1" s="14"/>
      <c r="G1" s="14"/>
      <c r="H1" s="14"/>
      <c r="I1" s="14"/>
      <c r="J1" s="14"/>
      <c r="K1" s="68"/>
      <c r="L1" s="68"/>
      <c r="M1" s="68"/>
      <c r="N1" s="68"/>
    </row>
    <row r="2" spans="1:22" s="70" customFormat="1" x14ac:dyDescent="0.3">
      <c r="A2" s="65"/>
      <c r="B2" s="65"/>
      <c r="C2" s="71"/>
      <c r="D2" s="71"/>
      <c r="E2" s="71"/>
      <c r="F2" s="66"/>
      <c r="G2" s="66"/>
      <c r="H2" s="66"/>
      <c r="I2" s="66"/>
      <c r="J2" s="66"/>
      <c r="K2" s="68"/>
      <c r="L2" s="68"/>
      <c r="M2" s="68"/>
      <c r="N2" s="68"/>
    </row>
    <row r="3" spans="1:22" s="70" customFormat="1" x14ac:dyDescent="0.3">
      <c r="A3" s="64" t="s">
        <v>14</v>
      </c>
      <c r="B3" s="65"/>
      <c r="C3" s="71"/>
      <c r="D3" s="71"/>
      <c r="E3" s="71"/>
      <c r="F3" s="71"/>
      <c r="G3" s="71"/>
      <c r="H3" s="71"/>
      <c r="I3" s="71"/>
      <c r="J3" s="71"/>
      <c r="K3" s="68"/>
      <c r="L3" s="68"/>
      <c r="M3" s="68"/>
      <c r="N3" s="68"/>
    </row>
    <row r="4" spans="1:22" s="70" customFormat="1" x14ac:dyDescent="0.3">
      <c r="A4" s="16" t="s">
        <v>126</v>
      </c>
      <c r="B4" s="66"/>
      <c r="C4" s="65"/>
      <c r="D4" s="71"/>
      <c r="E4" s="71"/>
      <c r="F4" s="71"/>
      <c r="G4" s="71"/>
      <c r="H4" s="71"/>
      <c r="I4" s="71"/>
      <c r="J4" s="71"/>
      <c r="K4" s="68"/>
      <c r="L4" s="68"/>
      <c r="M4" s="68"/>
      <c r="N4" s="68"/>
    </row>
    <row r="5" spans="1:22" ht="14.25" customHeight="1" x14ac:dyDescent="0.3"/>
    <row r="6" spans="1:22" ht="36" customHeight="1" x14ac:dyDescent="0.3">
      <c r="A6" s="9" t="s">
        <v>6</v>
      </c>
      <c r="B6" s="8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L6" s="74" t="s">
        <v>79</v>
      </c>
      <c r="M6" s="74" t="s">
        <v>80</v>
      </c>
    </row>
    <row r="7" spans="1:22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</row>
    <row r="8" spans="1:22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</row>
    <row r="9" spans="1:22" x14ac:dyDescent="0.3">
      <c r="A9" s="58">
        <v>2363</v>
      </c>
      <c r="B9" s="55" t="s">
        <v>18</v>
      </c>
      <c r="C9" s="59">
        <v>64.58</v>
      </c>
      <c r="D9" s="59">
        <v>164.43</v>
      </c>
      <c r="E9" s="59">
        <v>66.34</v>
      </c>
      <c r="F9" s="59">
        <f>C9+D9+E9</f>
        <v>295.35000000000002</v>
      </c>
      <c r="G9" s="59">
        <v>454.2</v>
      </c>
      <c r="H9" s="59">
        <v>933.08</v>
      </c>
      <c r="I9" s="59">
        <v>394.71</v>
      </c>
      <c r="J9" s="59">
        <f>SUM(G9:I9)</f>
        <v>1781.99</v>
      </c>
      <c r="L9" s="77">
        <v>2277.79</v>
      </c>
      <c r="T9" s="76">
        <v>2277.79</v>
      </c>
    </row>
    <row r="10" spans="1:22" x14ac:dyDescent="0.3">
      <c r="A10" s="58">
        <v>1100</v>
      </c>
      <c r="B10" s="55" t="s">
        <v>19</v>
      </c>
      <c r="C10" s="60">
        <f>M10/L9*C9</f>
        <v>39.692860184652666</v>
      </c>
      <c r="D10" s="60">
        <f>M10/L9*D9</f>
        <v>101.06375038963206</v>
      </c>
      <c r="E10" s="60">
        <f>M10/L9*E9</f>
        <v>40.774610477699881</v>
      </c>
      <c r="F10" s="60">
        <f>SUM(C10:E10)</f>
        <v>181.53122105198463</v>
      </c>
      <c r="G10" s="60">
        <f>M10/L9*G9</f>
        <v>279.16533130797836</v>
      </c>
      <c r="H10" s="60">
        <f>M10/L9*H9</f>
        <v>573.49975195255058</v>
      </c>
      <c r="I10" s="60">
        <f>M10/L9*I9</f>
        <v>242.60094214128608</v>
      </c>
      <c r="J10" s="60">
        <f>SUM(G10:I10)</f>
        <v>1095.2660254018151</v>
      </c>
      <c r="M10" s="73">
        <v>1400</v>
      </c>
    </row>
    <row r="11" spans="1:22" ht="46.8" x14ac:dyDescent="0.3">
      <c r="A11" s="58">
        <v>1200</v>
      </c>
      <c r="B11" s="55" t="s">
        <v>20</v>
      </c>
      <c r="C11" s="60">
        <f>M11/L9*C9</f>
        <v>9.363545717559564</v>
      </c>
      <c r="D11" s="60">
        <f>M11/L9*D9</f>
        <v>23.840938716914206</v>
      </c>
      <c r="E11" s="60">
        <f>M11/L9*E9</f>
        <v>9.6187306116894025</v>
      </c>
      <c r="F11" s="60">
        <f>SUM(C11:E11)</f>
        <v>42.82321504616317</v>
      </c>
      <c r="G11" s="60">
        <f>M11/L9*G9</f>
        <v>65.85510165555209</v>
      </c>
      <c r="H11" s="60">
        <f>M11/L9*H9</f>
        <v>135.28859148560667</v>
      </c>
      <c r="I11" s="60">
        <f>M11/L9*I9</f>
        <v>57.229562251129387</v>
      </c>
      <c r="J11" s="60">
        <f>SUM(G11:I11)</f>
        <v>258.37325539228817</v>
      </c>
      <c r="M11" s="73">
        <f>M10*0.2359</f>
        <v>330.26</v>
      </c>
    </row>
    <row r="12" spans="1:22" x14ac:dyDescent="0.3">
      <c r="A12" s="58">
        <v>2222</v>
      </c>
      <c r="B12" s="55" t="s">
        <v>21</v>
      </c>
      <c r="C12" s="60">
        <f>M12/L9*C9</f>
        <v>14.960522524025482</v>
      </c>
      <c r="D12" s="60">
        <f>M12/L9*D9</f>
        <v>38.091649405783684</v>
      </c>
      <c r="E12" s="60">
        <f>M12/L9*E9</f>
        <v>15.368241936262784</v>
      </c>
      <c r="F12" s="60">
        <f t="shared" ref="F12:F13" si="0">SUM(C12:E12)</f>
        <v>68.420413866071954</v>
      </c>
      <c r="G12" s="60">
        <f>M12/L9*G9</f>
        <v>105.21940740805782</v>
      </c>
      <c r="H12" s="60">
        <f>M12/L9*H9</f>
        <v>216.15615293771597</v>
      </c>
      <c r="I12" s="60">
        <f>M12/L9*I9</f>
        <v>91.438027956923165</v>
      </c>
      <c r="J12" s="60">
        <f t="shared" ref="J12:J13" si="1">SUM(G12:I12)</f>
        <v>412.81358830269699</v>
      </c>
      <c r="M12" s="73">
        <f>4059*0.13</f>
        <v>527.67000000000007</v>
      </c>
      <c r="N12" s="68"/>
    </row>
    <row r="13" spans="1:22" x14ac:dyDescent="0.3">
      <c r="A13" s="58">
        <v>2223</v>
      </c>
      <c r="B13" s="55" t="s">
        <v>22</v>
      </c>
      <c r="C13" s="60">
        <f>M13/L9*C9</f>
        <v>20.46705631335637</v>
      </c>
      <c r="D13" s="60">
        <f>M13/L9*D9</f>
        <v>52.112079120551066</v>
      </c>
      <c r="E13" s="60">
        <f>M13/L9*E9</f>
        <v>21.024845398390546</v>
      </c>
      <c r="F13" s="60">
        <f t="shared" si="0"/>
        <v>93.603980832297992</v>
      </c>
      <c r="G13" s="60">
        <f>M13/L9*G9</f>
        <v>143.94761501279748</v>
      </c>
      <c r="H13" s="60">
        <f>M13/L9*H9</f>
        <v>295.71695424073334</v>
      </c>
      <c r="I13" s="60">
        <f>M13/L9*I9</f>
        <v>125.09371008740929</v>
      </c>
      <c r="J13" s="60">
        <f t="shared" si="1"/>
        <v>564.75827934094013</v>
      </c>
      <c r="M13" s="73">
        <f>5553*0.13</f>
        <v>721.89</v>
      </c>
      <c r="N13" s="68"/>
    </row>
    <row r="14" spans="1:22" x14ac:dyDescent="0.3">
      <c r="A14" s="56"/>
      <c r="B14" s="61" t="s">
        <v>23</v>
      </c>
      <c r="C14" s="60">
        <f>SUM(C9:C13)</f>
        <v>149.0639847395941</v>
      </c>
      <c r="D14" s="60">
        <f t="shared" ref="D14:J14" si="2">SUM(D9:D13)</f>
        <v>379.53841763288102</v>
      </c>
      <c r="E14" s="60">
        <f t="shared" si="2"/>
        <v>153.12642842404262</v>
      </c>
      <c r="F14" s="60">
        <f t="shared" si="2"/>
        <v>681.72883079651785</v>
      </c>
      <c r="G14" s="60">
        <f t="shared" si="2"/>
        <v>1048.3874553843857</v>
      </c>
      <c r="H14" s="60">
        <f t="shared" si="2"/>
        <v>2153.7414506166065</v>
      </c>
      <c r="I14" s="60">
        <f t="shared" si="2"/>
        <v>911.07224243674796</v>
      </c>
      <c r="J14" s="60">
        <f t="shared" si="2"/>
        <v>4113.2011484377408</v>
      </c>
      <c r="M14" s="73">
        <f>SUM(M10:M13)</f>
        <v>2979.82</v>
      </c>
    </row>
    <row r="15" spans="1:22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</row>
    <row r="16" spans="1:22" x14ac:dyDescent="0.3">
      <c r="A16" s="58">
        <v>1100</v>
      </c>
      <c r="B16" s="55" t="s">
        <v>25</v>
      </c>
      <c r="C16" s="60">
        <f t="shared" ref="C16:J25" si="3">$U16/$T$9*C$9</f>
        <v>33.648204619389851</v>
      </c>
      <c r="D16" s="60">
        <f t="shared" si="3"/>
        <v>85.673184973153809</v>
      </c>
      <c r="E16" s="60">
        <f t="shared" si="3"/>
        <v>34.565219796381584</v>
      </c>
      <c r="F16" s="60">
        <f t="shared" si="3"/>
        <v>153.88660938892525</v>
      </c>
      <c r="G16" s="60">
        <f t="shared" si="3"/>
        <v>236.6524394259348</v>
      </c>
      <c r="H16" s="60">
        <f t="shared" si="3"/>
        <v>486.16393258377644</v>
      </c>
      <c r="I16" s="60">
        <f t="shared" si="3"/>
        <v>205.65628438091309</v>
      </c>
      <c r="J16" s="60">
        <f t="shared" si="3"/>
        <v>928.47265639062437</v>
      </c>
      <c r="U16" s="70">
        <v>1186.8</v>
      </c>
      <c r="V16" s="70"/>
    </row>
    <row r="17" spans="1:22" ht="46.8" x14ac:dyDescent="0.3">
      <c r="A17" s="58">
        <v>1200</v>
      </c>
      <c r="B17" s="55" t="s">
        <v>26</v>
      </c>
      <c r="C17" s="60">
        <f t="shared" si="3"/>
        <v>7.9376114697140645</v>
      </c>
      <c r="D17" s="60">
        <f t="shared" si="3"/>
        <v>20.210304335166981</v>
      </c>
      <c r="E17" s="60">
        <f t="shared" si="3"/>
        <v>8.1539353499664156</v>
      </c>
      <c r="F17" s="60">
        <f t="shared" si="3"/>
        <v>36.301851154847462</v>
      </c>
      <c r="G17" s="60">
        <f t="shared" si="3"/>
        <v>55.826310460578014</v>
      </c>
      <c r="H17" s="60">
        <f t="shared" si="3"/>
        <v>114.68607169651285</v>
      </c>
      <c r="I17" s="60">
        <f t="shared" si="3"/>
        <v>48.51431748545739</v>
      </c>
      <c r="J17" s="60">
        <f t="shared" si="3"/>
        <v>219.02669964254827</v>
      </c>
      <c r="U17" s="70">
        <f>U16*0.2359</f>
        <v>279.96611999999999</v>
      </c>
      <c r="V17" s="70"/>
    </row>
    <row r="18" spans="1:22" x14ac:dyDescent="0.3">
      <c r="A18" s="58">
        <v>2210</v>
      </c>
      <c r="B18" s="55" t="s">
        <v>27</v>
      </c>
      <c r="C18" s="60">
        <f t="shared" si="3"/>
        <v>0.1071707224985622</v>
      </c>
      <c r="D18" s="60">
        <f t="shared" si="3"/>
        <v>0.27287212605200656</v>
      </c>
      <c r="E18" s="60">
        <f t="shared" si="3"/>
        <v>0.11009144828978967</v>
      </c>
      <c r="F18" s="60">
        <f t="shared" si="3"/>
        <v>0.49013429684035847</v>
      </c>
      <c r="G18" s="60">
        <f t="shared" si="3"/>
        <v>0.75374639453154146</v>
      </c>
      <c r="H18" s="60">
        <f t="shared" si="3"/>
        <v>1.5484493302718865</v>
      </c>
      <c r="I18" s="60">
        <f t="shared" si="3"/>
        <v>0.6550225437814724</v>
      </c>
      <c r="J18" s="60">
        <f t="shared" si="3"/>
        <v>2.9572182685849002</v>
      </c>
      <c r="U18" s="24">
        <v>3.78</v>
      </c>
      <c r="V18" s="24" t="s">
        <v>108</v>
      </c>
    </row>
    <row r="19" spans="1:22" x14ac:dyDescent="0.3">
      <c r="A19" s="58">
        <v>2221</v>
      </c>
      <c r="B19" s="55" t="s">
        <v>28</v>
      </c>
      <c r="C19" s="60">
        <f t="shared" si="3"/>
        <v>2.1023039876371397</v>
      </c>
      <c r="D19" s="60">
        <f t="shared" si="3"/>
        <v>5.3527693509937269</v>
      </c>
      <c r="E19" s="60">
        <f t="shared" si="3"/>
        <v>2.1595981192296043</v>
      </c>
      <c r="F19" s="60">
        <f t="shared" si="3"/>
        <v>9.6146714578604708</v>
      </c>
      <c r="G19" s="60">
        <f t="shared" si="3"/>
        <v>14.785792368918996</v>
      </c>
      <c r="H19" s="60">
        <f t="shared" si="3"/>
        <v>30.375004719486871</v>
      </c>
      <c r="I19" s="60">
        <f t="shared" si="3"/>
        <v>12.849185614125972</v>
      </c>
      <c r="J19" s="60">
        <f t="shared" si="3"/>
        <v>58.009982702531843</v>
      </c>
      <c r="U19" s="24">
        <v>74.150000000000006</v>
      </c>
      <c r="V19" s="24" t="s">
        <v>89</v>
      </c>
    </row>
    <row r="20" spans="1:22" x14ac:dyDescent="0.3">
      <c r="A20" s="58">
        <v>2224</v>
      </c>
      <c r="B20" s="55" t="s">
        <v>29</v>
      </c>
      <c r="C20" s="60">
        <f t="shared" si="3"/>
        <v>0.58603672858340761</v>
      </c>
      <c r="D20" s="60">
        <f t="shared" si="3"/>
        <v>1.492134086109782</v>
      </c>
      <c r="E20" s="60">
        <f t="shared" si="3"/>
        <v>0.60200799898146895</v>
      </c>
      <c r="F20" s="60">
        <f t="shared" si="3"/>
        <v>2.6801788136746585</v>
      </c>
      <c r="G20" s="60">
        <f t="shared" si="3"/>
        <v>4.1216767129542236</v>
      </c>
      <c r="H20" s="60">
        <f t="shared" si="3"/>
        <v>8.4673141948994424</v>
      </c>
      <c r="I20" s="60">
        <f t="shared" si="3"/>
        <v>3.581829624328845</v>
      </c>
      <c r="J20" s="60">
        <f t="shared" si="3"/>
        <v>16.17082053218251</v>
      </c>
      <c r="U20" s="24">
        <v>20.67</v>
      </c>
      <c r="V20" s="24" t="s">
        <v>90</v>
      </c>
    </row>
    <row r="21" spans="1:22" x14ac:dyDescent="0.3">
      <c r="A21" s="58">
        <v>2234</v>
      </c>
      <c r="B21" s="55" t="s">
        <v>30</v>
      </c>
      <c r="C21" s="60">
        <f t="shared" si="3"/>
        <v>1.7011225793422573</v>
      </c>
      <c r="D21" s="60">
        <f t="shared" si="3"/>
        <v>4.3313035881270885</v>
      </c>
      <c r="E21" s="60">
        <f t="shared" si="3"/>
        <v>1.7474833061871378</v>
      </c>
      <c r="F21" s="60">
        <f t="shared" si="3"/>
        <v>7.7799094736564838</v>
      </c>
      <c r="G21" s="60">
        <f t="shared" si="3"/>
        <v>11.964228484627643</v>
      </c>
      <c r="H21" s="60">
        <f t="shared" si="3"/>
        <v>24.578560797966453</v>
      </c>
      <c r="I21" s="60">
        <f t="shared" si="3"/>
        <v>10.397183234626546</v>
      </c>
      <c r="J21" s="60">
        <f t="shared" si="3"/>
        <v>46.939972517220639</v>
      </c>
      <c r="U21" s="24">
        <f>2*30</f>
        <v>60</v>
      </c>
      <c r="V21" s="24" t="s">
        <v>91</v>
      </c>
    </row>
    <row r="22" spans="1:22" x14ac:dyDescent="0.3">
      <c r="A22" s="58">
        <v>2235</v>
      </c>
      <c r="B22" s="55" t="s">
        <v>31</v>
      </c>
      <c r="C22" s="60">
        <f t="shared" si="3"/>
        <v>1.1340817195615047</v>
      </c>
      <c r="D22" s="60">
        <f t="shared" si="3"/>
        <v>2.8875357254180591</v>
      </c>
      <c r="E22" s="60">
        <f t="shared" si="3"/>
        <v>1.1649888707914251</v>
      </c>
      <c r="F22" s="60">
        <f t="shared" si="3"/>
        <v>5.1866063157709892</v>
      </c>
      <c r="G22" s="60">
        <f t="shared" si="3"/>
        <v>7.9761523230850955</v>
      </c>
      <c r="H22" s="60">
        <f t="shared" si="3"/>
        <v>16.385707198644301</v>
      </c>
      <c r="I22" s="60">
        <f t="shared" si="3"/>
        <v>6.9314554897510305</v>
      </c>
      <c r="J22" s="60">
        <f t="shared" si="3"/>
        <v>31.293315011480427</v>
      </c>
      <c r="U22" s="24">
        <f>2*20</f>
        <v>40</v>
      </c>
      <c r="V22" s="24" t="s">
        <v>92</v>
      </c>
    </row>
    <row r="23" spans="1:22" x14ac:dyDescent="0.3">
      <c r="A23" s="58">
        <v>2243</v>
      </c>
      <c r="B23" s="55" t="s">
        <v>32</v>
      </c>
      <c r="C23" s="60">
        <f t="shared" si="3"/>
        <v>2.8258481247173797</v>
      </c>
      <c r="D23" s="60">
        <f t="shared" si="3"/>
        <v>7.195017143810448</v>
      </c>
      <c r="E23" s="60">
        <f t="shared" si="3"/>
        <v>2.9028610187945336</v>
      </c>
      <c r="F23" s="60">
        <f t="shared" si="3"/>
        <v>12.923726287322362</v>
      </c>
      <c r="G23" s="60">
        <f t="shared" si="3"/>
        <v>19.874577551047288</v>
      </c>
      <c r="H23" s="60">
        <f t="shared" si="3"/>
        <v>40.829085912221935</v>
      </c>
      <c r="I23" s="60">
        <f t="shared" si="3"/>
        <v>17.271454216587131</v>
      </c>
      <c r="J23" s="60">
        <f t="shared" si="3"/>
        <v>77.975117679856353</v>
      </c>
      <c r="U23" s="24">
        <v>99.67</v>
      </c>
      <c r="V23" s="24" t="s">
        <v>93</v>
      </c>
    </row>
    <row r="24" spans="1:22" x14ac:dyDescent="0.3">
      <c r="A24" s="58">
        <v>2244</v>
      </c>
      <c r="B24" s="55" t="s">
        <v>33</v>
      </c>
      <c r="C24" s="60">
        <f t="shared" si="3"/>
        <v>0.28210282774092427</v>
      </c>
      <c r="D24" s="60">
        <f t="shared" si="3"/>
        <v>0.71827451169774204</v>
      </c>
      <c r="E24" s="60">
        <f t="shared" si="3"/>
        <v>0.28979098160936695</v>
      </c>
      <c r="F24" s="60">
        <f t="shared" si="3"/>
        <v>1.2901683210480335</v>
      </c>
      <c r="G24" s="60">
        <f t="shared" si="3"/>
        <v>1.9840678903674174</v>
      </c>
      <c r="H24" s="60">
        <f t="shared" si="3"/>
        <v>4.0759446656627691</v>
      </c>
      <c r="I24" s="60">
        <f t="shared" si="3"/>
        <v>1.7241995530755685</v>
      </c>
      <c r="J24" s="60">
        <f t="shared" si="3"/>
        <v>7.7842121091057557</v>
      </c>
      <c r="U24" s="24">
        <v>9.9499999999999993</v>
      </c>
      <c r="V24" s="24" t="s">
        <v>94</v>
      </c>
    </row>
    <row r="25" spans="1:22" x14ac:dyDescent="0.3">
      <c r="A25" s="58">
        <v>2247</v>
      </c>
      <c r="B25" s="55" t="s">
        <v>34</v>
      </c>
      <c r="C25" s="60">
        <f t="shared" si="3"/>
        <v>1.0206735476053544E-2</v>
      </c>
      <c r="D25" s="60">
        <f t="shared" si="3"/>
        <v>2.5987821528762532E-2</v>
      </c>
      <c r="E25" s="60">
        <f t="shared" si="3"/>
        <v>1.0484899837122827E-2</v>
      </c>
      <c r="F25" s="60">
        <f t="shared" si="3"/>
        <v>4.6679456841938902E-2</v>
      </c>
      <c r="G25" s="60">
        <f t="shared" si="3"/>
        <v>7.1785370907765864E-2</v>
      </c>
      <c r="H25" s="60">
        <f t="shared" si="3"/>
        <v>0.14747136478779871</v>
      </c>
      <c r="I25" s="60">
        <f t="shared" si="3"/>
        <v>6.2383099407759275E-2</v>
      </c>
      <c r="J25" s="60">
        <f t="shared" si="3"/>
        <v>0.28163983510332385</v>
      </c>
      <c r="U25" s="24">
        <v>0.36</v>
      </c>
      <c r="V25" s="25" t="s">
        <v>95</v>
      </c>
    </row>
    <row r="26" spans="1:22" x14ac:dyDescent="0.3">
      <c r="A26" s="58">
        <v>2251</v>
      </c>
      <c r="B26" s="55" t="s">
        <v>35</v>
      </c>
      <c r="C26" s="60">
        <f t="shared" ref="C26:J34" si="4">$U26/$T$9*C$9</f>
        <v>0</v>
      </c>
      <c r="D26" s="60">
        <f t="shared" si="4"/>
        <v>0</v>
      </c>
      <c r="E26" s="60">
        <f t="shared" si="4"/>
        <v>0</v>
      </c>
      <c r="F26" s="60">
        <f t="shared" si="4"/>
        <v>0</v>
      </c>
      <c r="G26" s="60">
        <f t="shared" si="4"/>
        <v>0</v>
      </c>
      <c r="H26" s="60">
        <f t="shared" si="4"/>
        <v>0</v>
      </c>
      <c r="I26" s="60">
        <f t="shared" si="4"/>
        <v>0</v>
      </c>
      <c r="J26" s="60">
        <f t="shared" si="4"/>
        <v>0</v>
      </c>
      <c r="U26" s="24">
        <v>0</v>
      </c>
      <c r="V26" s="26" t="s">
        <v>96</v>
      </c>
    </row>
    <row r="27" spans="1:22" x14ac:dyDescent="0.3">
      <c r="A27" s="58">
        <v>2311</v>
      </c>
      <c r="B27" s="55" t="s">
        <v>36</v>
      </c>
      <c r="C27" s="60">
        <f t="shared" si="4"/>
        <v>0.10291791605020656</v>
      </c>
      <c r="D27" s="60">
        <f t="shared" si="4"/>
        <v>0.26204386708168881</v>
      </c>
      <c r="E27" s="60">
        <f t="shared" si="4"/>
        <v>0.10572274002432182</v>
      </c>
      <c r="F27" s="60">
        <f t="shared" si="4"/>
        <v>0.47068452315621723</v>
      </c>
      <c r="G27" s="60">
        <f t="shared" si="4"/>
        <v>0.72383582331997243</v>
      </c>
      <c r="H27" s="60">
        <f t="shared" si="4"/>
        <v>1.4870029282769703</v>
      </c>
      <c r="I27" s="60">
        <f t="shared" si="4"/>
        <v>0.62902958569490597</v>
      </c>
      <c r="J27" s="60">
        <f t="shared" si="4"/>
        <v>2.8398683372918487</v>
      </c>
      <c r="U27" s="24">
        <v>3.63</v>
      </c>
      <c r="V27" s="24" t="s">
        <v>97</v>
      </c>
    </row>
    <row r="28" spans="1:22" x14ac:dyDescent="0.3">
      <c r="A28" s="58">
        <v>2312</v>
      </c>
      <c r="B28" s="55" t="s">
        <v>37</v>
      </c>
      <c r="C28" s="60">
        <f t="shared" si="4"/>
        <v>1.0595158465003358</v>
      </c>
      <c r="D28" s="60">
        <f t="shared" si="4"/>
        <v>2.6976802514718212</v>
      </c>
      <c r="E28" s="60">
        <f t="shared" si="4"/>
        <v>1.0883908525368888</v>
      </c>
      <c r="F28" s="60">
        <f t="shared" si="4"/>
        <v>4.8455869505090465</v>
      </c>
      <c r="G28" s="60">
        <f t="shared" si="4"/>
        <v>7.4517203078422503</v>
      </c>
      <c r="H28" s="60">
        <f t="shared" si="4"/>
        <v>15.308346950333437</v>
      </c>
      <c r="I28" s="60">
        <f t="shared" si="4"/>
        <v>6.4757122912998994</v>
      </c>
      <c r="J28" s="60">
        <f t="shared" si="4"/>
        <v>29.235779549475588</v>
      </c>
      <c r="U28" s="24">
        <v>37.369999999999997</v>
      </c>
      <c r="V28" s="24" t="s">
        <v>98</v>
      </c>
    </row>
    <row r="29" spans="1:22" x14ac:dyDescent="0.3">
      <c r="A29" s="58">
        <v>2321</v>
      </c>
      <c r="B29" s="55" t="s">
        <v>38</v>
      </c>
      <c r="C29" s="60">
        <f t="shared" si="4"/>
        <v>0</v>
      </c>
      <c r="D29" s="60">
        <f t="shared" si="4"/>
        <v>0</v>
      </c>
      <c r="E29" s="60">
        <f t="shared" si="4"/>
        <v>0</v>
      </c>
      <c r="F29" s="60">
        <f t="shared" si="4"/>
        <v>0</v>
      </c>
      <c r="G29" s="60">
        <f t="shared" si="4"/>
        <v>0</v>
      </c>
      <c r="H29" s="60">
        <f t="shared" si="4"/>
        <v>0</v>
      </c>
      <c r="I29" s="60">
        <f t="shared" si="4"/>
        <v>0</v>
      </c>
      <c r="J29" s="60">
        <f t="shared" si="4"/>
        <v>0</v>
      </c>
      <c r="U29" s="24">
        <v>0</v>
      </c>
      <c r="V29" s="24" t="s">
        <v>99</v>
      </c>
    </row>
    <row r="30" spans="1:22" x14ac:dyDescent="0.3">
      <c r="A30" s="58">
        <v>2341</v>
      </c>
      <c r="B30" s="55" t="s">
        <v>39</v>
      </c>
      <c r="C30" s="60">
        <f t="shared" si="4"/>
        <v>2.5516838690133859E-3</v>
      </c>
      <c r="D30" s="60">
        <f t="shared" si="4"/>
        <v>6.4969553821906329E-3</v>
      </c>
      <c r="E30" s="60">
        <f t="shared" si="4"/>
        <v>2.6212249592807066E-3</v>
      </c>
      <c r="F30" s="60">
        <f t="shared" si="4"/>
        <v>1.1669864210484725E-2</v>
      </c>
      <c r="G30" s="60">
        <f t="shared" si="4"/>
        <v>1.7946342726941466E-2</v>
      </c>
      <c r="H30" s="60">
        <f t="shared" si="4"/>
        <v>3.6867841196949677E-2</v>
      </c>
      <c r="I30" s="60">
        <f t="shared" si="4"/>
        <v>1.5595774851939819E-2</v>
      </c>
      <c r="J30" s="60">
        <f t="shared" si="4"/>
        <v>7.0409958775830964E-2</v>
      </c>
      <c r="U30" s="24">
        <v>0.09</v>
      </c>
      <c r="V30" s="24" t="s">
        <v>100</v>
      </c>
    </row>
    <row r="31" spans="1:22" x14ac:dyDescent="0.3">
      <c r="A31" s="58">
        <v>2351</v>
      </c>
      <c r="B31" s="55" t="s">
        <v>40</v>
      </c>
      <c r="C31" s="60">
        <f t="shared" si="4"/>
        <v>0.4618547802914228</v>
      </c>
      <c r="D31" s="60">
        <f t="shared" si="4"/>
        <v>1.1759489241765044</v>
      </c>
      <c r="E31" s="60">
        <f t="shared" si="4"/>
        <v>0.47444171762980786</v>
      </c>
      <c r="F31" s="60">
        <f t="shared" si="4"/>
        <v>2.1122454220977351</v>
      </c>
      <c r="G31" s="60">
        <f t="shared" si="4"/>
        <v>3.2482880335764048</v>
      </c>
      <c r="H31" s="60">
        <f t="shared" si="4"/>
        <v>6.6730792566478909</v>
      </c>
      <c r="I31" s="60">
        <f t="shared" si="4"/>
        <v>2.8228352482011068</v>
      </c>
      <c r="J31" s="60">
        <f t="shared" si="4"/>
        <v>12.744202538425403</v>
      </c>
      <c r="U31" s="24">
        <v>16.29</v>
      </c>
      <c r="V31" s="24" t="s">
        <v>97</v>
      </c>
    </row>
    <row r="32" spans="1:22" x14ac:dyDescent="0.3">
      <c r="A32" s="58">
        <v>2352</v>
      </c>
      <c r="B32" s="55" t="s">
        <v>41</v>
      </c>
      <c r="C32" s="60">
        <f t="shared" si="4"/>
        <v>0.21349088370745328</v>
      </c>
      <c r="D32" s="60">
        <f t="shared" si="4"/>
        <v>0.54357860030994964</v>
      </c>
      <c r="E32" s="60">
        <f t="shared" si="4"/>
        <v>0.21930915492648578</v>
      </c>
      <c r="F32" s="60">
        <f t="shared" si="4"/>
        <v>0.97637863894388877</v>
      </c>
      <c r="G32" s="60">
        <f t="shared" si="4"/>
        <v>1.5015106748207694</v>
      </c>
      <c r="H32" s="60">
        <f t="shared" si="4"/>
        <v>3.0846093801447898</v>
      </c>
      <c r="I32" s="60">
        <f t="shared" si="4"/>
        <v>1.3048464959456316</v>
      </c>
      <c r="J32" s="60">
        <f t="shared" si="4"/>
        <v>5.890966550911191</v>
      </c>
      <c r="U32" s="24">
        <v>7.53</v>
      </c>
      <c r="V32" s="24" t="s">
        <v>98</v>
      </c>
    </row>
    <row r="33" spans="1:22" x14ac:dyDescent="0.3">
      <c r="A33" s="58">
        <v>2362</v>
      </c>
      <c r="B33" s="55" t="s">
        <v>42</v>
      </c>
      <c r="C33" s="60">
        <f t="shared" si="4"/>
        <v>0.94270542938550095</v>
      </c>
      <c r="D33" s="60">
        <f t="shared" si="4"/>
        <v>2.4002640717537616</v>
      </c>
      <c r="E33" s="60">
        <f t="shared" si="4"/>
        <v>0.96839699884537211</v>
      </c>
      <c r="F33" s="60">
        <f t="shared" si="4"/>
        <v>4.3113664999846346</v>
      </c>
      <c r="G33" s="60">
        <f t="shared" si="4"/>
        <v>6.6301766185644864</v>
      </c>
      <c r="H33" s="60">
        <f t="shared" si="4"/>
        <v>13.620619108873075</v>
      </c>
      <c r="I33" s="60">
        <f t="shared" si="4"/>
        <v>5.7617723758555446</v>
      </c>
      <c r="J33" s="60">
        <f t="shared" si="4"/>
        <v>26.012568103293106</v>
      </c>
      <c r="U33" s="24">
        <v>33.25</v>
      </c>
      <c r="V33" s="25" t="s">
        <v>101</v>
      </c>
    </row>
    <row r="34" spans="1:22" x14ac:dyDescent="0.3">
      <c r="A34" s="58" t="s">
        <v>13</v>
      </c>
      <c r="B34" s="55" t="s">
        <v>43</v>
      </c>
      <c r="C34" s="60">
        <f t="shared" si="4"/>
        <v>2.2834735423370898</v>
      </c>
      <c r="D34" s="60">
        <f t="shared" si="4"/>
        <v>5.8140531831292614</v>
      </c>
      <c r="E34" s="60">
        <f t="shared" si="4"/>
        <v>2.3457050913385347</v>
      </c>
      <c r="F34" s="60">
        <f t="shared" si="4"/>
        <v>10.443231816804886</v>
      </c>
      <c r="G34" s="60">
        <f t="shared" si="4"/>
        <v>16.05998270253184</v>
      </c>
      <c r="H34" s="60">
        <f t="shared" si="4"/>
        <v>32.992621444470302</v>
      </c>
      <c r="I34" s="60">
        <f t="shared" si="4"/>
        <v>13.9564856286137</v>
      </c>
      <c r="J34" s="60">
        <f t="shared" si="4"/>
        <v>63.009089775615841</v>
      </c>
      <c r="U34" s="24">
        <v>80.540000000000006</v>
      </c>
      <c r="V34" s="25" t="s">
        <v>43</v>
      </c>
    </row>
    <row r="35" spans="1:22" x14ac:dyDescent="0.3">
      <c r="A35" s="56"/>
      <c r="B35" s="61" t="s">
        <v>44</v>
      </c>
      <c r="C35" s="60">
        <f>SUM(C16:C34)</f>
        <v>55.401199596802165</v>
      </c>
      <c r="D35" s="60">
        <f t="shared" ref="D35:J35" si="5">SUM(D16:D34)</f>
        <v>141.05944951536358</v>
      </c>
      <c r="E35" s="60">
        <f t="shared" si="5"/>
        <v>56.911049570329133</v>
      </c>
      <c r="F35" s="60">
        <f t="shared" si="5"/>
        <v>253.37169868249495</v>
      </c>
      <c r="G35" s="60">
        <f t="shared" si="5"/>
        <v>389.6442374863355</v>
      </c>
      <c r="H35" s="60">
        <f t="shared" si="5"/>
        <v>800.46068937417408</v>
      </c>
      <c r="I35" s="60">
        <f t="shared" si="5"/>
        <v>338.60959264251755</v>
      </c>
      <c r="J35" s="60">
        <f t="shared" si="5"/>
        <v>1528.7145195030273</v>
      </c>
    </row>
    <row r="36" spans="1:22" ht="48" customHeight="1" x14ac:dyDescent="0.3">
      <c r="A36" s="55" t="s">
        <v>45</v>
      </c>
      <c r="B36" s="55" t="s">
        <v>45</v>
      </c>
      <c r="C36" s="60">
        <f>C14+C35</f>
        <v>204.46518433639628</v>
      </c>
      <c r="D36" s="60">
        <f t="shared" ref="D36:J36" si="6">D14+D35</f>
        <v>520.59786714824463</v>
      </c>
      <c r="E36" s="60">
        <f t="shared" si="6"/>
        <v>210.03747799437176</v>
      </c>
      <c r="F36" s="60">
        <f t="shared" si="6"/>
        <v>935.10052947901283</v>
      </c>
      <c r="G36" s="60">
        <f t="shared" si="6"/>
        <v>1438.0316928707211</v>
      </c>
      <c r="H36" s="60">
        <f t="shared" si="6"/>
        <v>2954.2021399907808</v>
      </c>
      <c r="I36" s="60">
        <f t="shared" si="6"/>
        <v>1249.6818350792655</v>
      </c>
      <c r="J36" s="60">
        <f t="shared" si="6"/>
        <v>5641.9156679407679</v>
      </c>
    </row>
    <row r="37" spans="1:22" ht="93" customHeight="1" x14ac:dyDescent="0.3">
      <c r="A37" s="55" t="s">
        <v>46</v>
      </c>
      <c r="B37" s="55" t="s">
        <v>46</v>
      </c>
      <c r="C37" s="62">
        <v>208</v>
      </c>
      <c r="D37" s="62">
        <v>210</v>
      </c>
      <c r="E37" s="62">
        <v>211</v>
      </c>
      <c r="F37" s="62" t="s">
        <v>47</v>
      </c>
      <c r="G37" s="62">
        <v>1000</v>
      </c>
      <c r="H37" s="62">
        <v>1034</v>
      </c>
      <c r="I37" s="62">
        <v>1033</v>
      </c>
      <c r="J37" s="62" t="s">
        <v>47</v>
      </c>
    </row>
    <row r="38" spans="1:22" ht="157.5" customHeight="1" x14ac:dyDescent="0.3">
      <c r="A38" s="55" t="s">
        <v>127</v>
      </c>
      <c r="B38" s="55" t="s">
        <v>122</v>
      </c>
      <c r="C38" s="60">
        <f>C14/C37</f>
        <v>0.7166537727865101</v>
      </c>
      <c r="D38" s="60">
        <f t="shared" ref="D38:E38" si="7">D14/D37</f>
        <v>1.8073257982518145</v>
      </c>
      <c r="E38" s="60">
        <f t="shared" si="7"/>
        <v>0.7257176702561261</v>
      </c>
      <c r="F38" s="60">
        <f>SUM(C38:E38)</f>
        <v>3.2496972412944509</v>
      </c>
      <c r="G38" s="60">
        <f>G14/G37</f>
        <v>1.0483874553843857</v>
      </c>
      <c r="H38" s="63">
        <f t="shared" ref="H38:I38" si="8">H14/H37</f>
        <v>2.0829220992423658</v>
      </c>
      <c r="I38" s="60">
        <f t="shared" si="8"/>
        <v>0.88196732084873952</v>
      </c>
      <c r="J38" s="60">
        <f>SUM(G38:I38)</f>
        <v>4.0132768754754906</v>
      </c>
    </row>
    <row r="39" spans="1:22" ht="139.5" customHeight="1" x14ac:dyDescent="0.3">
      <c r="A39" s="55" t="s">
        <v>125</v>
      </c>
      <c r="B39" s="55" t="s">
        <v>125</v>
      </c>
      <c r="C39" s="59">
        <f>C9/C37</f>
        <v>0.31048076923076923</v>
      </c>
      <c r="D39" s="59">
        <f>D9/D37</f>
        <v>0.78300000000000003</v>
      </c>
      <c r="E39" s="59">
        <f>E9/E37</f>
        <v>0.31440758293838866</v>
      </c>
      <c r="F39" s="59">
        <f>SUM(C39:E39)</f>
        <v>1.4078883521691581</v>
      </c>
      <c r="G39" s="59">
        <f>G9/G37</f>
        <v>0.45419999999999999</v>
      </c>
      <c r="H39" s="59">
        <f>H9/H37</f>
        <v>0.90239845261121865</v>
      </c>
      <c r="I39" s="59">
        <f>I9/I37</f>
        <v>0.38210067763794769</v>
      </c>
      <c r="J39" s="59">
        <f>G39+H39+I39</f>
        <v>1.7386991302491663</v>
      </c>
    </row>
  </sheetData>
  <mergeCells count="4">
    <mergeCell ref="G6:J6"/>
    <mergeCell ref="C6:F6"/>
    <mergeCell ref="A6:B6"/>
    <mergeCell ref="C1:J1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537C-3778-4BDF-99C2-D1D16167CD4F}">
  <sheetPr>
    <pageSetUpPr fitToPage="1"/>
  </sheetPr>
  <dimension ref="A1:V39"/>
  <sheetViews>
    <sheetView topLeftCell="A16" zoomScale="106" zoomScaleNormal="106" workbookViewId="0">
      <selection activeCell="H1" sqref="H1:N1"/>
    </sheetView>
  </sheetViews>
  <sheetFormatPr defaultColWidth="9.109375" defaultRowHeight="15.6" x14ac:dyDescent="0.3"/>
  <cols>
    <col min="1" max="1" width="10.6640625" style="76" customWidth="1"/>
    <col min="2" max="2" width="43" style="79" customWidth="1"/>
    <col min="3" max="10" width="10.6640625" style="76" customWidth="1"/>
    <col min="11" max="11" width="11.109375" style="76" customWidth="1"/>
    <col min="12" max="14" width="9.109375" style="76"/>
    <col min="15" max="17" width="9.109375" style="73" hidden="1" customWidth="1"/>
    <col min="18" max="18" width="27.6640625" style="73" hidden="1" customWidth="1"/>
    <col min="19" max="20" width="9.109375" style="75" hidden="1" customWidth="1"/>
    <col min="21" max="22" width="0" style="75" hidden="1" customWidth="1"/>
    <col min="23" max="16384" width="9.109375" style="76"/>
  </cols>
  <sheetData>
    <row r="1" spans="1:22" s="70" customFormat="1" ht="65.25" customHeight="1" x14ac:dyDescent="0.3">
      <c r="A1" s="66"/>
      <c r="B1" s="66"/>
      <c r="C1" s="66"/>
      <c r="D1" s="66"/>
      <c r="E1" s="66"/>
      <c r="F1" s="66"/>
      <c r="G1" s="66"/>
      <c r="H1" s="14" t="s">
        <v>136</v>
      </c>
      <c r="I1" s="14"/>
      <c r="J1" s="14"/>
      <c r="K1" s="14"/>
      <c r="L1" s="14"/>
      <c r="M1" s="14"/>
      <c r="N1" s="14"/>
      <c r="O1" s="68"/>
      <c r="P1" s="68"/>
      <c r="Q1" s="68"/>
      <c r="R1" s="68"/>
      <c r="S1" s="69"/>
      <c r="T1" s="69"/>
      <c r="U1" s="69"/>
      <c r="V1" s="69"/>
    </row>
    <row r="2" spans="1:22" s="70" customFormat="1" x14ac:dyDescent="0.3">
      <c r="A2" s="65"/>
      <c r="B2" s="65"/>
      <c r="C2" s="71"/>
      <c r="D2" s="71"/>
      <c r="E2" s="71"/>
      <c r="F2" s="66"/>
      <c r="G2" s="66"/>
      <c r="H2" s="66"/>
      <c r="I2" s="66"/>
      <c r="J2" s="66"/>
      <c r="K2" s="66"/>
      <c r="L2" s="66"/>
      <c r="O2" s="68"/>
      <c r="P2" s="68"/>
      <c r="Q2" s="68"/>
      <c r="R2" s="68"/>
      <c r="S2" s="69"/>
      <c r="T2" s="69"/>
      <c r="U2" s="69"/>
      <c r="V2" s="69"/>
    </row>
    <row r="3" spans="1:22" s="70" customFormat="1" x14ac:dyDescent="0.3">
      <c r="A3" s="64" t="s">
        <v>14</v>
      </c>
      <c r="B3" s="65"/>
      <c r="C3" s="71"/>
      <c r="D3" s="71"/>
      <c r="E3" s="71"/>
      <c r="F3" s="71"/>
      <c r="G3" s="71"/>
      <c r="H3" s="71"/>
      <c r="I3" s="71"/>
      <c r="J3" s="71"/>
      <c r="O3" s="68"/>
      <c r="P3" s="68"/>
      <c r="Q3" s="68"/>
      <c r="R3" s="68"/>
      <c r="S3" s="69"/>
      <c r="T3" s="69"/>
      <c r="U3" s="69"/>
      <c r="V3" s="69"/>
    </row>
    <row r="4" spans="1:22" s="70" customFormat="1" x14ac:dyDescent="0.3">
      <c r="A4" s="16" t="s">
        <v>126</v>
      </c>
      <c r="B4" s="66"/>
      <c r="C4" s="65"/>
      <c r="D4" s="71"/>
      <c r="E4" s="71"/>
      <c r="F4" s="71"/>
      <c r="G4" s="71"/>
      <c r="H4" s="71"/>
      <c r="I4" s="71"/>
      <c r="J4" s="71"/>
      <c r="O4" s="68"/>
      <c r="P4" s="68"/>
      <c r="Q4" s="68"/>
      <c r="R4" s="68"/>
      <c r="S4" s="69"/>
      <c r="T4" s="69"/>
      <c r="U4" s="69"/>
      <c r="V4" s="69"/>
    </row>
    <row r="6" spans="1:22" ht="46.8" x14ac:dyDescent="0.3">
      <c r="A6" s="9" t="s">
        <v>58</v>
      </c>
      <c r="B6" s="8"/>
      <c r="C6" s="11" t="s">
        <v>48</v>
      </c>
      <c r="D6" s="11"/>
      <c r="E6" s="11"/>
      <c r="F6" s="11"/>
      <c r="G6" s="11" t="s">
        <v>0</v>
      </c>
      <c r="H6" s="11"/>
      <c r="I6" s="11"/>
      <c r="J6" s="11"/>
      <c r="K6" s="11" t="s">
        <v>59</v>
      </c>
      <c r="L6" s="11"/>
      <c r="M6" s="11"/>
      <c r="N6" s="11"/>
      <c r="P6" s="74" t="s">
        <v>79</v>
      </c>
      <c r="Q6" s="74" t="s">
        <v>80</v>
      </c>
    </row>
    <row r="7" spans="1:22" ht="31.2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1</v>
      </c>
      <c r="H7" s="57" t="s">
        <v>2</v>
      </c>
      <c r="I7" s="57" t="s">
        <v>3</v>
      </c>
      <c r="J7" s="57" t="s">
        <v>4</v>
      </c>
      <c r="K7" s="57" t="s">
        <v>1</v>
      </c>
      <c r="L7" s="57" t="s">
        <v>2</v>
      </c>
      <c r="M7" s="57" t="s">
        <v>3</v>
      </c>
      <c r="N7" s="57" t="s">
        <v>4</v>
      </c>
      <c r="P7" s="74"/>
    </row>
    <row r="8" spans="1:22" x14ac:dyDescent="0.3">
      <c r="A8" s="56"/>
      <c r="B8" s="55" t="s">
        <v>17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22" x14ac:dyDescent="0.3">
      <c r="A9" s="58">
        <v>2363</v>
      </c>
      <c r="B9" s="55" t="s">
        <v>18</v>
      </c>
      <c r="C9" s="59">
        <v>103.7</v>
      </c>
      <c r="D9" s="59">
        <v>186.23</v>
      </c>
      <c r="E9" s="59">
        <v>77.72</v>
      </c>
      <c r="F9" s="59">
        <f>C9+D9+E9</f>
        <v>367.65</v>
      </c>
      <c r="G9" s="59">
        <v>845.41</v>
      </c>
      <c r="H9" s="59">
        <v>1499.1</v>
      </c>
      <c r="I9" s="59">
        <v>610.16999999999996</v>
      </c>
      <c r="J9" s="59">
        <f>SUM(G9:I9)</f>
        <v>2954.68</v>
      </c>
      <c r="K9" s="59">
        <v>9.86</v>
      </c>
      <c r="L9" s="59">
        <v>17.62</v>
      </c>
      <c r="M9" s="59">
        <v>8.26</v>
      </c>
      <c r="N9" s="59">
        <f>SUM(K9:M9)</f>
        <v>35.74</v>
      </c>
      <c r="P9" s="77">
        <v>3456.76</v>
      </c>
      <c r="T9" s="75">
        <v>3458.72</v>
      </c>
    </row>
    <row r="10" spans="1:22" x14ac:dyDescent="0.3">
      <c r="A10" s="58">
        <v>1100</v>
      </c>
      <c r="B10" s="55" t="s">
        <v>19</v>
      </c>
      <c r="C10" s="60">
        <f>Q10/P9*C9</f>
        <v>61.138349205614503</v>
      </c>
      <c r="D10" s="60">
        <f>Q10/P9*D9</f>
        <v>109.7955137180481</v>
      </c>
      <c r="E10" s="60">
        <f>Q10/P9*E9</f>
        <v>45.821335585924388</v>
      </c>
      <c r="F10" s="60">
        <f>SUM(C10:E10)</f>
        <v>216.75519850958699</v>
      </c>
      <c r="G10" s="60">
        <f>Q10/P9*G9</f>
        <v>498.4278862287228</v>
      </c>
      <c r="H10" s="60">
        <f>Q10/P9*H9</f>
        <v>883.8235226049826</v>
      </c>
      <c r="I10" s="60">
        <f>Q10/P9*I9</f>
        <v>359.737575070297</v>
      </c>
      <c r="J10" s="60">
        <f>SUM(G10:I10)</f>
        <v>1741.9889839040025</v>
      </c>
      <c r="K10" s="59">
        <f>Q10/P9*K9</f>
        <v>5.8131545146321981</v>
      </c>
      <c r="L10" s="59">
        <f>Q10/P9*L9</f>
        <v>10.38821324014395</v>
      </c>
      <c r="M10" s="59">
        <f>Q10/P9*M9</f>
        <v>4.8698434372070949</v>
      </c>
      <c r="N10" s="59">
        <f>SUM(K10:M10)</f>
        <v>21.071211191983242</v>
      </c>
      <c r="Q10" s="73">
        <v>2038</v>
      </c>
    </row>
    <row r="11" spans="1:22" ht="46.8" x14ac:dyDescent="0.3">
      <c r="A11" s="58">
        <v>1200</v>
      </c>
      <c r="B11" s="55" t="s">
        <v>20</v>
      </c>
      <c r="C11" s="60">
        <f>Q11/P9*C9</f>
        <v>14.429610386604798</v>
      </c>
      <c r="D11" s="60">
        <f>Q11/P9*D9</f>
        <v>25.913465210196829</v>
      </c>
      <c r="E11" s="60">
        <f>Q11/P9*E9</f>
        <v>10.814554669690692</v>
      </c>
      <c r="F11" s="60">
        <f>SUM(C11:E11)</f>
        <v>51.157630266492319</v>
      </c>
      <c r="G11" s="60">
        <f>Q11/P9*G9</f>
        <v>117.63680729932074</v>
      </c>
      <c r="H11" s="60">
        <f>Q11/P9*H9</f>
        <v>208.59622883856557</v>
      </c>
      <c r="I11" s="60">
        <f>Q11/P9*I9</f>
        <v>84.903716196669706</v>
      </c>
      <c r="J11" s="60">
        <f>SUM(G11:I11)</f>
        <v>411.13675233455604</v>
      </c>
      <c r="K11" s="59">
        <f>Q11/P9*K9</f>
        <v>1.3719957416771773</v>
      </c>
      <c r="L11" s="59">
        <f>Q11/P9*L9</f>
        <v>2.4517814369525222</v>
      </c>
      <c r="M11" s="59">
        <f>Q11/P9*M9</f>
        <v>1.1493595158472094</v>
      </c>
      <c r="N11" s="59">
        <f>SUM(K11:M11)</f>
        <v>4.9731366944769082</v>
      </c>
      <c r="Q11" s="73">
        <v>481</v>
      </c>
    </row>
    <row r="12" spans="1:22" x14ac:dyDescent="0.3">
      <c r="A12" s="58">
        <v>2222</v>
      </c>
      <c r="B12" s="55" t="s">
        <v>21</v>
      </c>
      <c r="C12" s="60">
        <f>Q12/P9*C9</f>
        <v>22.705186938057604</v>
      </c>
      <c r="D12" s="60">
        <f>Q12/P9*D9</f>
        <v>40.775187690207012</v>
      </c>
      <c r="E12" s="60">
        <f>Q12/P9*E9</f>
        <v>17.016847915388976</v>
      </c>
      <c r="F12" s="60">
        <f t="shared" ref="F12:F13" si="0">SUM(C12:E12)</f>
        <v>80.497222543653592</v>
      </c>
      <c r="G12" s="60">
        <f>Q12/P9*G9</f>
        <v>185.10310597206632</v>
      </c>
      <c r="H12" s="60">
        <f>Q12/P9*H9</f>
        <v>328.22898494544023</v>
      </c>
      <c r="I12" s="60">
        <f>Q12/P9*I9</f>
        <v>133.59714478297596</v>
      </c>
      <c r="J12" s="60">
        <f t="shared" ref="J12:J13" si="1">SUM(G12:I12)</f>
        <v>646.92923570048254</v>
      </c>
      <c r="K12" s="59">
        <f>Q12/P9*K9</f>
        <v>2.1588538400120343</v>
      </c>
      <c r="L12" s="59">
        <f>Q12/P9*L9</f>
        <v>3.8579112232263739</v>
      </c>
      <c r="M12" s="59">
        <f>Q12/P9*M9</f>
        <v>1.8085327300709333</v>
      </c>
      <c r="N12" s="59">
        <f t="shared" ref="N12:N13" si="2">SUM(K12:M12)</f>
        <v>7.8252977933093408</v>
      </c>
      <c r="Q12" s="73">
        <f>5822*0.13</f>
        <v>756.86</v>
      </c>
      <c r="R12" s="68"/>
    </row>
    <row r="13" spans="1:22" x14ac:dyDescent="0.3">
      <c r="A13" s="58">
        <v>2223</v>
      </c>
      <c r="B13" s="55" t="s">
        <v>22</v>
      </c>
      <c r="C13" s="60">
        <f>Q13/P9*C9</f>
        <v>18.894989817054121</v>
      </c>
      <c r="D13" s="60">
        <f>Q13/P9*D9</f>
        <v>33.932632146865849</v>
      </c>
      <c r="E13" s="60">
        <f>Q13/P9*E9</f>
        <v>14.161220912067947</v>
      </c>
      <c r="F13" s="60">
        <f t="shared" si="0"/>
        <v>66.988842875987913</v>
      </c>
      <c r="G13" s="60">
        <f>Q13/P9*G9</f>
        <v>154.04063009870512</v>
      </c>
      <c r="H13" s="60">
        <f>Q13/P9*H9</f>
        <v>273.1483050602298</v>
      </c>
      <c r="I13" s="60">
        <f>Q13/P9*I9</f>
        <v>111.17797431699047</v>
      </c>
      <c r="J13" s="60">
        <f t="shared" si="1"/>
        <v>538.36690947592535</v>
      </c>
      <c r="K13" s="59">
        <f>Q13/P9*K9</f>
        <v>1.7965728022772769</v>
      </c>
      <c r="L13" s="59">
        <f>Q13/P9*L9</f>
        <v>3.2105083951445863</v>
      </c>
      <c r="M13" s="59">
        <f>Q13/P9*M9</f>
        <v>1.5050396903458729</v>
      </c>
      <c r="N13" s="59">
        <f t="shared" si="2"/>
        <v>6.5121208877677361</v>
      </c>
      <c r="Q13" s="73">
        <f>4845*0.13</f>
        <v>629.85</v>
      </c>
      <c r="R13" s="68"/>
    </row>
    <row r="14" spans="1:22" x14ac:dyDescent="0.3">
      <c r="A14" s="56"/>
      <c r="B14" s="61" t="s">
        <v>23</v>
      </c>
      <c r="C14" s="60">
        <f>SUM(C9:C13)</f>
        <v>220.86813634733105</v>
      </c>
      <c r="D14" s="60">
        <f t="shared" ref="D14:N14" si="3">SUM(D9:D13)</f>
        <v>396.64679876531778</v>
      </c>
      <c r="E14" s="60">
        <f t="shared" si="3"/>
        <v>165.53395908307198</v>
      </c>
      <c r="F14" s="60">
        <f t="shared" si="3"/>
        <v>783.04889419572078</v>
      </c>
      <c r="G14" s="60">
        <f t="shared" si="3"/>
        <v>1800.6184295988148</v>
      </c>
      <c r="H14" s="60">
        <f t="shared" si="3"/>
        <v>3192.8970414492173</v>
      </c>
      <c r="I14" s="60">
        <f t="shared" si="3"/>
        <v>1299.586410366933</v>
      </c>
      <c r="J14" s="60">
        <f t="shared" si="3"/>
        <v>6293.1018814149666</v>
      </c>
      <c r="K14" s="60">
        <f t="shared" si="3"/>
        <v>21.000576898598688</v>
      </c>
      <c r="L14" s="60">
        <f t="shared" si="3"/>
        <v>37.528414295467435</v>
      </c>
      <c r="M14" s="60">
        <f t="shared" si="3"/>
        <v>17.592775373471113</v>
      </c>
      <c r="N14" s="60">
        <f t="shared" si="3"/>
        <v>76.121766567537236</v>
      </c>
      <c r="Q14" s="73">
        <f>SUM(Q10:Q13)</f>
        <v>3905.71</v>
      </c>
    </row>
    <row r="15" spans="1:22" x14ac:dyDescent="0.3">
      <c r="A15" s="56"/>
      <c r="B15" s="55" t="s">
        <v>24</v>
      </c>
      <c r="C15" s="60"/>
      <c r="D15" s="60"/>
      <c r="E15" s="60"/>
      <c r="F15" s="60"/>
      <c r="G15" s="60"/>
      <c r="H15" s="60"/>
      <c r="I15" s="60"/>
      <c r="J15" s="60"/>
      <c r="K15" s="59"/>
      <c r="L15" s="59"/>
      <c r="M15" s="59"/>
      <c r="N15" s="59"/>
    </row>
    <row r="16" spans="1:22" x14ac:dyDescent="0.3">
      <c r="A16" s="58">
        <v>1100</v>
      </c>
      <c r="B16" s="55" t="s">
        <v>25</v>
      </c>
      <c r="C16" s="60">
        <f t="shared" ref="C16:N25" si="4">$U16/$T$9*C$9</f>
        <v>32.488701022343527</v>
      </c>
      <c r="D16" s="60">
        <f t="shared" si="4"/>
        <v>58.344944950733215</v>
      </c>
      <c r="E16" s="60">
        <f t="shared" si="4"/>
        <v>24.34929453670722</v>
      </c>
      <c r="F16" s="60">
        <f t="shared" si="4"/>
        <v>115.18294050978396</v>
      </c>
      <c r="G16" s="60">
        <f t="shared" si="4"/>
        <v>264.86280358051533</v>
      </c>
      <c r="H16" s="60">
        <f t="shared" si="4"/>
        <v>469.66067215617335</v>
      </c>
      <c r="I16" s="60">
        <f t="shared" si="4"/>
        <v>191.16326617939583</v>
      </c>
      <c r="J16" s="60">
        <f t="shared" si="4"/>
        <v>925.68674191608454</v>
      </c>
      <c r="K16" s="60">
        <f t="shared" si="4"/>
        <v>3.0890896054031547</v>
      </c>
      <c r="L16" s="60">
        <f t="shared" si="4"/>
        <v>5.5202595179719669</v>
      </c>
      <c r="M16" s="60">
        <f t="shared" si="4"/>
        <v>2.5878174584817506</v>
      </c>
      <c r="N16" s="60">
        <f t="shared" si="4"/>
        <v>11.197166581856873</v>
      </c>
      <c r="U16" s="69">
        <v>1083.5999999999999</v>
      </c>
      <c r="V16" s="69"/>
    </row>
    <row r="17" spans="1:22" ht="46.8" x14ac:dyDescent="0.3">
      <c r="A17" s="58">
        <v>1200</v>
      </c>
      <c r="B17" s="55" t="s">
        <v>26</v>
      </c>
      <c r="C17" s="60">
        <f t="shared" si="4"/>
        <v>7.6640845711708376</v>
      </c>
      <c r="D17" s="60">
        <f t="shared" si="4"/>
        <v>13.763572513877966</v>
      </c>
      <c r="E17" s="60">
        <f t="shared" si="4"/>
        <v>5.7439985812092331</v>
      </c>
      <c r="F17" s="60">
        <f t="shared" si="4"/>
        <v>27.171655666258037</v>
      </c>
      <c r="G17" s="60">
        <f t="shared" si="4"/>
        <v>62.481135364643563</v>
      </c>
      <c r="H17" s="60">
        <f t="shared" si="4"/>
        <v>110.79295256164129</v>
      </c>
      <c r="I17" s="60">
        <f t="shared" si="4"/>
        <v>45.095414491719474</v>
      </c>
      <c r="J17" s="60">
        <f t="shared" si="4"/>
        <v>218.36950241800432</v>
      </c>
      <c r="K17" s="60">
        <f t="shared" si="4"/>
        <v>0.72871623791460416</v>
      </c>
      <c r="L17" s="60">
        <f t="shared" si="4"/>
        <v>1.3022292202895869</v>
      </c>
      <c r="M17" s="60">
        <f t="shared" si="4"/>
        <v>0.61046613845584485</v>
      </c>
      <c r="N17" s="60">
        <f t="shared" si="4"/>
        <v>2.6414115966600362</v>
      </c>
      <c r="U17" s="69">
        <f>U16*0.2359</f>
        <v>255.62123999999997</v>
      </c>
      <c r="V17" s="69"/>
    </row>
    <row r="18" spans="1:22" x14ac:dyDescent="0.3">
      <c r="A18" s="58">
        <v>2210</v>
      </c>
      <c r="B18" s="55" t="s">
        <v>27</v>
      </c>
      <c r="C18" s="60">
        <f t="shared" si="4"/>
        <v>5.5467051394735629E-2</v>
      </c>
      <c r="D18" s="60">
        <f t="shared" si="4"/>
        <v>9.9610694129620203E-2</v>
      </c>
      <c r="E18" s="60">
        <f t="shared" si="4"/>
        <v>4.1570870148494241E-2</v>
      </c>
      <c r="F18" s="60">
        <f t="shared" si="4"/>
        <v>0.19664861567285005</v>
      </c>
      <c r="G18" s="60">
        <f t="shared" si="4"/>
        <v>0.4521928632557709</v>
      </c>
      <c r="H18" s="60">
        <f t="shared" si="4"/>
        <v>0.80183854142572974</v>
      </c>
      <c r="I18" s="60">
        <f t="shared" si="4"/>
        <v>0.32636770250265995</v>
      </c>
      <c r="J18" s="60">
        <f t="shared" si="4"/>
        <v>1.5803991071841605</v>
      </c>
      <c r="K18" s="60">
        <f t="shared" si="4"/>
        <v>5.2739163621224033E-3</v>
      </c>
      <c r="L18" s="60">
        <f t="shared" si="4"/>
        <v>9.4245848175047425E-3</v>
      </c>
      <c r="M18" s="60">
        <f t="shared" si="4"/>
        <v>4.4181084331775915E-3</v>
      </c>
      <c r="N18" s="60">
        <f t="shared" si="4"/>
        <v>1.9116609612804737E-2</v>
      </c>
      <c r="U18" s="31">
        <v>1.85</v>
      </c>
      <c r="V18" s="31" t="s">
        <v>108</v>
      </c>
    </row>
    <row r="19" spans="1:22" x14ac:dyDescent="0.3">
      <c r="A19" s="58">
        <v>2221</v>
      </c>
      <c r="B19" s="55" t="s">
        <v>28</v>
      </c>
      <c r="C19" s="60">
        <f t="shared" si="4"/>
        <v>3.7258867442290793</v>
      </c>
      <c r="D19" s="60">
        <f t="shared" si="4"/>
        <v>6.6911464645880558</v>
      </c>
      <c r="E19" s="60">
        <f t="shared" si="4"/>
        <v>2.7924389369477729</v>
      </c>
      <c r="F19" s="60">
        <f t="shared" si="4"/>
        <v>13.209472145764908</v>
      </c>
      <c r="G19" s="60">
        <f t="shared" si="4"/>
        <v>30.375138982051165</v>
      </c>
      <c r="H19" s="60">
        <f t="shared" si="4"/>
        <v>53.861878671878614</v>
      </c>
      <c r="I19" s="60">
        <f t="shared" si="4"/>
        <v>21.92308885946246</v>
      </c>
      <c r="J19" s="60">
        <f t="shared" si="4"/>
        <v>106.16010651339225</v>
      </c>
      <c r="K19" s="60">
        <f t="shared" si="4"/>
        <v>0.35426464125456819</v>
      </c>
      <c r="L19" s="60">
        <f t="shared" si="4"/>
        <v>0.63307738122773749</v>
      </c>
      <c r="M19" s="60">
        <f t="shared" si="4"/>
        <v>0.29677747837350238</v>
      </c>
      <c r="N19" s="60">
        <f t="shared" si="4"/>
        <v>1.2841195008558082</v>
      </c>
      <c r="U19" s="31">
        <v>124.27</v>
      </c>
      <c r="V19" s="31" t="s">
        <v>89</v>
      </c>
    </row>
    <row r="20" spans="1:22" x14ac:dyDescent="0.3">
      <c r="A20" s="58">
        <v>2224</v>
      </c>
      <c r="B20" s="55" t="s">
        <v>29</v>
      </c>
      <c r="C20" s="60">
        <f t="shared" si="4"/>
        <v>0.62962598880510712</v>
      </c>
      <c r="D20" s="60">
        <f t="shared" si="4"/>
        <v>1.1307159874173105</v>
      </c>
      <c r="E20" s="60">
        <f t="shared" si="4"/>
        <v>0.47188555303696167</v>
      </c>
      <c r="F20" s="60">
        <f t="shared" si="4"/>
        <v>2.232227529259379</v>
      </c>
      <c r="G20" s="60">
        <f t="shared" si="4"/>
        <v>5.1330000693898317</v>
      </c>
      <c r="H20" s="60">
        <f t="shared" si="4"/>
        <v>9.1019510107785528</v>
      </c>
      <c r="I20" s="60">
        <f t="shared" si="4"/>
        <v>3.7047144608410045</v>
      </c>
      <c r="J20" s="60">
        <f t="shared" si="4"/>
        <v>17.93966554100939</v>
      </c>
      <c r="K20" s="60">
        <f t="shared" si="4"/>
        <v>5.9866077624092143E-2</v>
      </c>
      <c r="L20" s="60">
        <f t="shared" si="4"/>
        <v>0.10698177360410788</v>
      </c>
      <c r="M20" s="60">
        <f t="shared" si="4"/>
        <v>5.0151501133367256E-2</v>
      </c>
      <c r="N20" s="60">
        <f t="shared" si="4"/>
        <v>0.21699935236156731</v>
      </c>
      <c r="U20" s="31">
        <v>21</v>
      </c>
      <c r="V20" s="31" t="s">
        <v>90</v>
      </c>
    </row>
    <row r="21" spans="1:22" x14ac:dyDescent="0.3">
      <c r="A21" s="58">
        <v>2234</v>
      </c>
      <c r="B21" s="55" t="s">
        <v>30</v>
      </c>
      <c r="C21" s="60">
        <f t="shared" si="4"/>
        <v>2.6983970948790308</v>
      </c>
      <c r="D21" s="60">
        <f t="shared" si="4"/>
        <v>4.8459256603599021</v>
      </c>
      <c r="E21" s="60">
        <f t="shared" si="4"/>
        <v>2.0223666558726929</v>
      </c>
      <c r="F21" s="60">
        <f t="shared" si="4"/>
        <v>9.566689411111625</v>
      </c>
      <c r="G21" s="60">
        <f t="shared" si="4"/>
        <v>21.998571725956424</v>
      </c>
      <c r="H21" s="60">
        <f t="shared" si="4"/>
        <v>39.008361474765231</v>
      </c>
      <c r="I21" s="60">
        <f t="shared" si="4"/>
        <v>15.877347689318592</v>
      </c>
      <c r="J21" s="60">
        <f t="shared" si="4"/>
        <v>76.884280890040245</v>
      </c>
      <c r="K21" s="60">
        <f t="shared" si="4"/>
        <v>0.25656890410325206</v>
      </c>
      <c r="L21" s="60">
        <f t="shared" si="4"/>
        <v>0.45849331544617672</v>
      </c>
      <c r="M21" s="60">
        <f t="shared" si="4"/>
        <v>0.21493500485728825</v>
      </c>
      <c r="N21" s="60">
        <f t="shared" si="4"/>
        <v>0.92999722440671706</v>
      </c>
      <c r="U21" s="31">
        <f>3*30</f>
        <v>90</v>
      </c>
      <c r="V21" s="31" t="s">
        <v>91</v>
      </c>
    </row>
    <row r="22" spans="1:22" x14ac:dyDescent="0.3">
      <c r="A22" s="58">
        <v>2235</v>
      </c>
      <c r="B22" s="55" t="s">
        <v>31</v>
      </c>
      <c r="C22" s="60">
        <f t="shared" si="4"/>
        <v>1.7989313965860203</v>
      </c>
      <c r="D22" s="60">
        <f t="shared" si="4"/>
        <v>3.230617106906601</v>
      </c>
      <c r="E22" s="60">
        <f t="shared" si="4"/>
        <v>1.3482444372484619</v>
      </c>
      <c r="F22" s="60">
        <f t="shared" si="4"/>
        <v>6.3777929407410827</v>
      </c>
      <c r="G22" s="60">
        <f t="shared" si="4"/>
        <v>14.665714483970948</v>
      </c>
      <c r="H22" s="60">
        <f t="shared" si="4"/>
        <v>26.005574316510152</v>
      </c>
      <c r="I22" s="60">
        <f t="shared" si="4"/>
        <v>10.584898459545727</v>
      </c>
      <c r="J22" s="60">
        <f t="shared" si="4"/>
        <v>51.256187260026827</v>
      </c>
      <c r="K22" s="60">
        <f t="shared" si="4"/>
        <v>0.1710459360688347</v>
      </c>
      <c r="L22" s="60">
        <f t="shared" si="4"/>
        <v>0.30566221029745111</v>
      </c>
      <c r="M22" s="60">
        <f t="shared" si="4"/>
        <v>0.14329000323819216</v>
      </c>
      <c r="N22" s="60">
        <f t="shared" si="4"/>
        <v>0.61999814960447797</v>
      </c>
      <c r="U22" s="31">
        <f>3*20</f>
        <v>60</v>
      </c>
      <c r="V22" s="31" t="s">
        <v>92</v>
      </c>
    </row>
    <row r="23" spans="1:22" x14ac:dyDescent="0.3">
      <c r="A23" s="58">
        <v>2243</v>
      </c>
      <c r="B23" s="55" t="s">
        <v>32</v>
      </c>
      <c r="C23" s="60">
        <f t="shared" si="4"/>
        <v>0.84939544108803255</v>
      </c>
      <c r="D23" s="60">
        <f t="shared" si="4"/>
        <v>1.5253897106444001</v>
      </c>
      <c r="E23" s="60">
        <f t="shared" si="4"/>
        <v>0.63659608178748206</v>
      </c>
      <c r="F23" s="60">
        <f t="shared" si="4"/>
        <v>3.0113812335199146</v>
      </c>
      <c r="G23" s="60">
        <f t="shared" si="4"/>
        <v>6.9246615221816157</v>
      </c>
      <c r="H23" s="60">
        <f t="shared" si="4"/>
        <v>12.278965339778876</v>
      </c>
      <c r="I23" s="60">
        <f t="shared" si="4"/>
        <v>4.9978362226488411</v>
      </c>
      <c r="J23" s="60">
        <f t="shared" si="4"/>
        <v>24.201463084609333</v>
      </c>
      <c r="K23" s="60">
        <f t="shared" si="4"/>
        <v>8.0762189480501456E-2</v>
      </c>
      <c r="L23" s="60">
        <f t="shared" si="4"/>
        <v>0.14432350696211316</v>
      </c>
      <c r="M23" s="60">
        <f t="shared" si="4"/>
        <v>6.765676319563306E-2</v>
      </c>
      <c r="N23" s="60">
        <f t="shared" si="4"/>
        <v>0.29274245963824769</v>
      </c>
      <c r="U23" s="31">
        <v>28.33</v>
      </c>
      <c r="V23" s="31" t="s">
        <v>93</v>
      </c>
    </row>
    <row r="24" spans="1:22" x14ac:dyDescent="0.3">
      <c r="A24" s="58">
        <v>2244</v>
      </c>
      <c r="B24" s="55" t="s">
        <v>33</v>
      </c>
      <c r="C24" s="60">
        <f t="shared" si="4"/>
        <v>0.11842965027524636</v>
      </c>
      <c r="D24" s="60">
        <f t="shared" si="4"/>
        <v>0.21268229287135126</v>
      </c>
      <c r="E24" s="60">
        <f t="shared" si="4"/>
        <v>8.8759425452190427E-2</v>
      </c>
      <c r="F24" s="60">
        <f t="shared" si="4"/>
        <v>0.41987136859878804</v>
      </c>
      <c r="G24" s="60">
        <f t="shared" si="4"/>
        <v>0.96549287019475427</v>
      </c>
      <c r="H24" s="60">
        <f t="shared" si="4"/>
        <v>1.7120336425035854</v>
      </c>
      <c r="I24" s="60">
        <f t="shared" si="4"/>
        <v>0.69683914858676055</v>
      </c>
      <c r="J24" s="60">
        <f t="shared" si="4"/>
        <v>3.3743656612851001</v>
      </c>
      <c r="K24" s="60">
        <f t="shared" si="4"/>
        <v>1.126052412453162E-2</v>
      </c>
      <c r="L24" s="60">
        <f t="shared" si="4"/>
        <v>2.0122762177915535E-2</v>
      </c>
      <c r="M24" s="60">
        <f t="shared" si="4"/>
        <v>9.4332585465143181E-3</v>
      </c>
      <c r="N24" s="60">
        <f t="shared" si="4"/>
        <v>4.0816544848961474E-2</v>
      </c>
      <c r="U24" s="31">
        <v>3.95</v>
      </c>
      <c r="V24" s="31" t="s">
        <v>94</v>
      </c>
    </row>
    <row r="25" spans="1:22" x14ac:dyDescent="0.3">
      <c r="A25" s="58">
        <v>2247</v>
      </c>
      <c r="B25" s="55" t="s">
        <v>34</v>
      </c>
      <c r="C25" s="60">
        <f t="shared" si="4"/>
        <v>1.9788245362446225E-2</v>
      </c>
      <c r="D25" s="60">
        <f t="shared" si="4"/>
        <v>3.5536788175972611E-2</v>
      </c>
      <c r="E25" s="60">
        <f t="shared" si="4"/>
        <v>1.4830688809733081E-2</v>
      </c>
      <c r="F25" s="60">
        <f t="shared" si="4"/>
        <v>7.0155722348151914E-2</v>
      </c>
      <c r="G25" s="60">
        <f t="shared" si="4"/>
        <v>0.16132285932368043</v>
      </c>
      <c r="H25" s="60">
        <f t="shared" si="4"/>
        <v>0.28606131748161168</v>
      </c>
      <c r="I25" s="60">
        <f t="shared" si="4"/>
        <v>0.116433883055003</v>
      </c>
      <c r="J25" s="60">
        <f t="shared" si="4"/>
        <v>0.5638180598602951</v>
      </c>
      <c r="K25" s="60">
        <f t="shared" si="4"/>
        <v>1.8815052967571819E-3</v>
      </c>
      <c r="L25" s="60">
        <f t="shared" si="4"/>
        <v>3.3622843132719623E-3</v>
      </c>
      <c r="M25" s="60">
        <f t="shared" si="4"/>
        <v>1.5761900356201137E-3</v>
      </c>
      <c r="N25" s="60">
        <f t="shared" si="4"/>
        <v>6.8199796456492583E-3</v>
      </c>
      <c r="U25" s="31">
        <v>0.66</v>
      </c>
      <c r="V25" s="31" t="s">
        <v>95</v>
      </c>
    </row>
    <row r="26" spans="1:22" x14ac:dyDescent="0.3">
      <c r="A26" s="58">
        <v>2251</v>
      </c>
      <c r="B26" s="55" t="s">
        <v>35</v>
      </c>
      <c r="C26" s="60">
        <f t="shared" ref="C26:N34" si="5">$U26/$T$9*C$9</f>
        <v>0</v>
      </c>
      <c r="D26" s="60">
        <f t="shared" si="5"/>
        <v>0</v>
      </c>
      <c r="E26" s="60">
        <f t="shared" si="5"/>
        <v>0</v>
      </c>
      <c r="F26" s="60">
        <f t="shared" si="5"/>
        <v>0</v>
      </c>
      <c r="G26" s="60">
        <f t="shared" si="5"/>
        <v>0</v>
      </c>
      <c r="H26" s="60">
        <f t="shared" si="5"/>
        <v>0</v>
      </c>
      <c r="I26" s="60">
        <f t="shared" si="5"/>
        <v>0</v>
      </c>
      <c r="J26" s="60">
        <f t="shared" si="5"/>
        <v>0</v>
      </c>
      <c r="K26" s="60">
        <f t="shared" si="5"/>
        <v>0</v>
      </c>
      <c r="L26" s="60">
        <f t="shared" si="5"/>
        <v>0</v>
      </c>
      <c r="M26" s="60">
        <f t="shared" si="5"/>
        <v>0</v>
      </c>
      <c r="N26" s="60">
        <f t="shared" si="5"/>
        <v>0</v>
      </c>
      <c r="U26" s="31">
        <v>0</v>
      </c>
      <c r="V26" s="31" t="s">
        <v>96</v>
      </c>
    </row>
    <row r="27" spans="1:22" x14ac:dyDescent="0.3">
      <c r="A27" s="58">
        <v>2311</v>
      </c>
      <c r="B27" s="55" t="s">
        <v>36</v>
      </c>
      <c r="C27" s="60">
        <f t="shared" si="5"/>
        <v>0.14241540222972662</v>
      </c>
      <c r="D27" s="60">
        <f t="shared" si="5"/>
        <v>0.25575718763010591</v>
      </c>
      <c r="E27" s="60">
        <f t="shared" si="5"/>
        <v>0.10673601794883657</v>
      </c>
      <c r="F27" s="60">
        <f t="shared" si="5"/>
        <v>0.50490860780866909</v>
      </c>
      <c r="G27" s="60">
        <f t="shared" si="5"/>
        <v>1.1610357299810334</v>
      </c>
      <c r="H27" s="60">
        <f t="shared" si="5"/>
        <v>2.0587746333903874</v>
      </c>
      <c r="I27" s="60">
        <f t="shared" si="5"/>
        <v>0.83797112804737006</v>
      </c>
      <c r="J27" s="60">
        <f t="shared" si="5"/>
        <v>4.0577814914187904</v>
      </c>
      <c r="K27" s="60">
        <f t="shared" si="5"/>
        <v>1.3541136605449415E-2</v>
      </c>
      <c r="L27" s="60">
        <f t="shared" si="5"/>
        <v>2.4198258315214879E-2</v>
      </c>
      <c r="M27" s="60">
        <f t="shared" si="5"/>
        <v>1.1343791923023547E-2</v>
      </c>
      <c r="N27" s="60">
        <f t="shared" si="5"/>
        <v>4.9083186843687843E-2</v>
      </c>
      <c r="U27" s="31">
        <v>4.75</v>
      </c>
      <c r="V27" s="31" t="s">
        <v>97</v>
      </c>
    </row>
    <row r="28" spans="1:22" x14ac:dyDescent="0.3">
      <c r="A28" s="58">
        <v>2312</v>
      </c>
      <c r="B28" s="55" t="s">
        <v>37</v>
      </c>
      <c r="C28" s="60">
        <f t="shared" si="5"/>
        <v>0.29472492714067633</v>
      </c>
      <c r="D28" s="60">
        <f t="shared" si="5"/>
        <v>0.52928276934819818</v>
      </c>
      <c r="E28" s="60">
        <f t="shared" si="5"/>
        <v>0.22088738030253968</v>
      </c>
      <c r="F28" s="60">
        <f t="shared" si="5"/>
        <v>1.0448950767914142</v>
      </c>
      <c r="G28" s="60">
        <f t="shared" si="5"/>
        <v>2.4027328896239073</v>
      </c>
      <c r="H28" s="60">
        <f t="shared" si="5"/>
        <v>4.2605799255215802</v>
      </c>
      <c r="I28" s="60">
        <f t="shared" si="5"/>
        <v>1.7341591976222417</v>
      </c>
      <c r="J28" s="60">
        <f t="shared" si="5"/>
        <v>8.3974720127677287</v>
      </c>
      <c r="K28" s="60">
        <f t="shared" si="5"/>
        <v>2.802302585927742E-2</v>
      </c>
      <c r="L28" s="60">
        <f t="shared" si="5"/>
        <v>5.0077658787065743E-2</v>
      </c>
      <c r="M28" s="60">
        <f t="shared" si="5"/>
        <v>2.3475678863857149E-2</v>
      </c>
      <c r="N28" s="60">
        <f t="shared" si="5"/>
        <v>0.10157636351020032</v>
      </c>
      <c r="U28" s="31">
        <v>9.83</v>
      </c>
      <c r="V28" s="31" t="s">
        <v>98</v>
      </c>
    </row>
    <row r="29" spans="1:22" x14ac:dyDescent="0.3">
      <c r="A29" s="58">
        <v>2321</v>
      </c>
      <c r="B29" s="55" t="s">
        <v>38</v>
      </c>
      <c r="C29" s="60">
        <f t="shared" si="5"/>
        <v>0</v>
      </c>
      <c r="D29" s="60">
        <f t="shared" si="5"/>
        <v>0</v>
      </c>
      <c r="E29" s="60">
        <f t="shared" si="5"/>
        <v>0</v>
      </c>
      <c r="F29" s="60">
        <f t="shared" si="5"/>
        <v>0</v>
      </c>
      <c r="G29" s="60">
        <f t="shared" si="5"/>
        <v>0</v>
      </c>
      <c r="H29" s="60">
        <f t="shared" si="5"/>
        <v>0</v>
      </c>
      <c r="I29" s="60">
        <f t="shared" si="5"/>
        <v>0</v>
      </c>
      <c r="J29" s="60">
        <f t="shared" si="5"/>
        <v>0</v>
      </c>
      <c r="K29" s="60">
        <f t="shared" si="5"/>
        <v>0</v>
      </c>
      <c r="L29" s="60">
        <f t="shared" si="5"/>
        <v>0</v>
      </c>
      <c r="M29" s="60">
        <f t="shared" si="5"/>
        <v>0</v>
      </c>
      <c r="N29" s="60">
        <f t="shared" si="5"/>
        <v>0</v>
      </c>
      <c r="U29" s="31">
        <v>0</v>
      </c>
      <c r="V29" s="31" t="s">
        <v>99</v>
      </c>
    </row>
    <row r="30" spans="1:22" x14ac:dyDescent="0.3">
      <c r="A30" s="58">
        <v>2341</v>
      </c>
      <c r="B30" s="55" t="s">
        <v>39</v>
      </c>
      <c r="C30" s="60">
        <f t="shared" si="5"/>
        <v>2.998218994310034E-3</v>
      </c>
      <c r="D30" s="60">
        <f t="shared" si="5"/>
        <v>5.3843618448443358E-3</v>
      </c>
      <c r="E30" s="60">
        <f t="shared" si="5"/>
        <v>2.2470740620807697E-3</v>
      </c>
      <c r="F30" s="60">
        <f t="shared" si="5"/>
        <v>1.0629654901235139E-2</v>
      </c>
      <c r="G30" s="60">
        <f t="shared" si="5"/>
        <v>2.4442857473284917E-2</v>
      </c>
      <c r="H30" s="60">
        <f t="shared" si="5"/>
        <v>4.3342623860850256E-2</v>
      </c>
      <c r="I30" s="60">
        <f t="shared" si="5"/>
        <v>1.7641497432576213E-2</v>
      </c>
      <c r="J30" s="60">
        <f t="shared" si="5"/>
        <v>8.5426978766711389E-2</v>
      </c>
      <c r="K30" s="60">
        <f t="shared" si="5"/>
        <v>2.8507656011472451E-4</v>
      </c>
      <c r="L30" s="60">
        <f t="shared" si="5"/>
        <v>5.0943701716241858E-4</v>
      </c>
      <c r="M30" s="60">
        <f t="shared" si="5"/>
        <v>2.3881667206365363E-4</v>
      </c>
      <c r="N30" s="60">
        <f t="shared" si="5"/>
        <v>1.0333302493407968E-3</v>
      </c>
      <c r="U30" s="31">
        <v>0.1</v>
      </c>
      <c r="V30" s="31" t="s">
        <v>100</v>
      </c>
    </row>
    <row r="31" spans="1:22" x14ac:dyDescent="0.3">
      <c r="A31" s="58">
        <v>2351</v>
      </c>
      <c r="B31" s="55" t="s">
        <v>40</v>
      </c>
      <c r="C31" s="60">
        <f t="shared" si="5"/>
        <v>0.3900682911597354</v>
      </c>
      <c r="D31" s="60">
        <f t="shared" si="5"/>
        <v>0.70050547601424806</v>
      </c>
      <c r="E31" s="60">
        <f t="shared" si="5"/>
        <v>0.29234433547670813</v>
      </c>
      <c r="F31" s="60">
        <f t="shared" si="5"/>
        <v>1.3829181026506916</v>
      </c>
      <c r="G31" s="60">
        <f t="shared" si="5"/>
        <v>3.1800157572743672</v>
      </c>
      <c r="H31" s="60">
        <f t="shared" si="5"/>
        <v>5.6388753642966183</v>
      </c>
      <c r="I31" s="60">
        <f t="shared" si="5"/>
        <v>2.2951588159781653</v>
      </c>
      <c r="J31" s="60">
        <f t="shared" si="5"/>
        <v>11.114049937549151</v>
      </c>
      <c r="K31" s="60">
        <f t="shared" si="5"/>
        <v>3.7088460470925656E-2</v>
      </c>
      <c r="L31" s="60">
        <f t="shared" si="5"/>
        <v>6.6277755932830654E-2</v>
      </c>
      <c r="M31" s="60">
        <f t="shared" si="5"/>
        <v>3.1070049035481336E-2</v>
      </c>
      <c r="N31" s="60">
        <f t="shared" si="5"/>
        <v>0.13443626543923765</v>
      </c>
      <c r="U31" s="31">
        <v>13.01</v>
      </c>
      <c r="V31" s="31" t="s">
        <v>97</v>
      </c>
    </row>
    <row r="32" spans="1:22" x14ac:dyDescent="0.3">
      <c r="A32" s="58">
        <v>2352</v>
      </c>
      <c r="B32" s="55" t="s">
        <v>41</v>
      </c>
      <c r="C32" s="60">
        <f t="shared" si="5"/>
        <v>0.41735208400795676</v>
      </c>
      <c r="D32" s="60">
        <f t="shared" si="5"/>
        <v>0.74950316880233159</v>
      </c>
      <c r="E32" s="60">
        <f t="shared" si="5"/>
        <v>0.31279270944164317</v>
      </c>
      <c r="F32" s="60">
        <f t="shared" si="5"/>
        <v>1.4796479622519314</v>
      </c>
      <c r="G32" s="60">
        <f t="shared" si="5"/>
        <v>3.4024457602812603</v>
      </c>
      <c r="H32" s="60">
        <f t="shared" si="5"/>
        <v>6.0332932414303562</v>
      </c>
      <c r="I32" s="60">
        <f t="shared" si="5"/>
        <v>2.4556964426146091</v>
      </c>
      <c r="J32" s="60">
        <f t="shared" si="5"/>
        <v>11.891435444326225</v>
      </c>
      <c r="K32" s="60">
        <f t="shared" si="5"/>
        <v>3.9682657167969655E-2</v>
      </c>
      <c r="L32" s="60">
        <f t="shared" si="5"/>
        <v>7.0913632789008668E-2</v>
      </c>
      <c r="M32" s="60">
        <f t="shared" si="5"/>
        <v>3.3243280751260582E-2</v>
      </c>
      <c r="N32" s="60">
        <f t="shared" si="5"/>
        <v>0.14383957070823891</v>
      </c>
      <c r="U32" s="31">
        <v>13.92</v>
      </c>
      <c r="V32" s="31" t="s">
        <v>98</v>
      </c>
    </row>
    <row r="33" spans="1:22" x14ac:dyDescent="0.3">
      <c r="A33" s="58">
        <v>2362</v>
      </c>
      <c r="B33" s="55" t="s">
        <v>42</v>
      </c>
      <c r="C33" s="60">
        <f t="shared" si="5"/>
        <v>1.484118402183467</v>
      </c>
      <c r="D33" s="60">
        <f t="shared" si="5"/>
        <v>2.6652591131979464</v>
      </c>
      <c r="E33" s="60">
        <f t="shared" si="5"/>
        <v>1.1123016607299812</v>
      </c>
      <c r="F33" s="60">
        <f t="shared" si="5"/>
        <v>5.2616791761113939</v>
      </c>
      <c r="G33" s="60">
        <f t="shared" si="5"/>
        <v>12.099214449276033</v>
      </c>
      <c r="H33" s="60">
        <f t="shared" si="5"/>
        <v>21.454598811120878</v>
      </c>
      <c r="I33" s="60">
        <f t="shared" si="5"/>
        <v>8.7325412291252267</v>
      </c>
      <c r="J33" s="60">
        <f t="shared" si="5"/>
        <v>42.286354489522139</v>
      </c>
      <c r="K33" s="60">
        <f t="shared" si="5"/>
        <v>0.14111289725678863</v>
      </c>
      <c r="L33" s="60">
        <f t="shared" si="5"/>
        <v>0.25217132349539717</v>
      </c>
      <c r="M33" s="60">
        <f t="shared" si="5"/>
        <v>0.11821425267150855</v>
      </c>
      <c r="N33" s="60">
        <f t="shared" si="5"/>
        <v>0.51149847342369437</v>
      </c>
      <c r="U33" s="31">
        <v>49.5</v>
      </c>
      <c r="V33" s="31" t="s">
        <v>101</v>
      </c>
    </row>
    <row r="34" spans="1:22" x14ac:dyDescent="0.3">
      <c r="A34" s="58" t="s">
        <v>13</v>
      </c>
      <c r="B34" s="55" t="s">
        <v>43</v>
      </c>
      <c r="C34" s="60">
        <f t="shared" si="5"/>
        <v>5.6159639982421243</v>
      </c>
      <c r="D34" s="60">
        <f t="shared" si="5"/>
        <v>10.085448171577925</v>
      </c>
      <c r="E34" s="60">
        <f t="shared" si="5"/>
        <v>4.2089944256834899</v>
      </c>
      <c r="F34" s="60">
        <f t="shared" si="5"/>
        <v>19.910406595503538</v>
      </c>
      <c r="G34" s="60">
        <f t="shared" si="5"/>
        <v>45.783916333209973</v>
      </c>
      <c r="H34" s="60">
        <f t="shared" si="5"/>
        <v>81.185068753758614</v>
      </c>
      <c r="I34" s="60">
        <f t="shared" si="5"/>
        <v>33.044288840958501</v>
      </c>
      <c r="J34" s="60">
        <f t="shared" si="5"/>
        <v>160.01327392792709</v>
      </c>
      <c r="K34" s="60">
        <f t="shared" si="5"/>
        <v>0.53397690475089044</v>
      </c>
      <c r="L34" s="60">
        <f t="shared" si="5"/>
        <v>0.95422647684692607</v>
      </c>
      <c r="M34" s="60">
        <f t="shared" si="5"/>
        <v>0.44732750844242958</v>
      </c>
      <c r="N34" s="60">
        <f t="shared" si="5"/>
        <v>1.9355308900402461</v>
      </c>
      <c r="U34" s="31">
        <v>187.31</v>
      </c>
      <c r="V34" s="31" t="s">
        <v>43</v>
      </c>
    </row>
    <row r="35" spans="1:22" x14ac:dyDescent="0.3">
      <c r="A35" s="56"/>
      <c r="B35" s="61" t="s">
        <v>44</v>
      </c>
      <c r="C35" s="60">
        <f>SUM(C16:C34)</f>
        <v>58.396348530092077</v>
      </c>
      <c r="D35" s="60">
        <f t="shared" ref="D35:N35" si="6">SUM(D16:D34)</f>
        <v>104.87128241812</v>
      </c>
      <c r="E35" s="60">
        <f t="shared" si="6"/>
        <v>43.766289370865522</v>
      </c>
      <c r="F35" s="60">
        <f t="shared" si="6"/>
        <v>207.03392031907757</v>
      </c>
      <c r="G35" s="60">
        <f t="shared" si="6"/>
        <v>476.07383809860289</v>
      </c>
      <c r="H35" s="60">
        <f t="shared" si="6"/>
        <v>844.18482238631623</v>
      </c>
      <c r="I35" s="60">
        <f t="shared" si="6"/>
        <v>343.60366424885501</v>
      </c>
      <c r="J35" s="60">
        <f t="shared" si="6"/>
        <v>1663.8623247337741</v>
      </c>
      <c r="K35" s="60">
        <f t="shared" si="6"/>
        <v>5.5524396963038347</v>
      </c>
      <c r="L35" s="60">
        <f t="shared" si="6"/>
        <v>9.9223111002914379</v>
      </c>
      <c r="M35" s="60">
        <f t="shared" si="6"/>
        <v>4.6514352831105157</v>
      </c>
      <c r="N35" s="60">
        <f t="shared" si="6"/>
        <v>20.126186079705789</v>
      </c>
    </row>
    <row r="36" spans="1:22" ht="24" customHeight="1" x14ac:dyDescent="0.3">
      <c r="A36" s="55"/>
      <c r="B36" s="55" t="s">
        <v>45</v>
      </c>
      <c r="C36" s="60">
        <f>C14+C35</f>
        <v>279.26448487742311</v>
      </c>
      <c r="D36" s="60">
        <f t="shared" ref="D36:N36" si="7">D14+D35</f>
        <v>501.5180811834378</v>
      </c>
      <c r="E36" s="60">
        <f t="shared" si="7"/>
        <v>209.30024845393751</v>
      </c>
      <c r="F36" s="60">
        <f t="shared" si="7"/>
        <v>990.08281451479832</v>
      </c>
      <c r="G36" s="60">
        <f t="shared" si="7"/>
        <v>2276.6922676974177</v>
      </c>
      <c r="H36" s="60">
        <f t="shared" si="7"/>
        <v>4037.0818638355336</v>
      </c>
      <c r="I36" s="60">
        <f t="shared" si="7"/>
        <v>1643.190074615788</v>
      </c>
      <c r="J36" s="60">
        <f t="shared" si="7"/>
        <v>7956.9642061487411</v>
      </c>
      <c r="K36" s="60">
        <f t="shared" si="7"/>
        <v>26.553016594902523</v>
      </c>
      <c r="L36" s="60">
        <f t="shared" si="7"/>
        <v>47.450725395758873</v>
      </c>
      <c r="M36" s="60">
        <f t="shared" si="7"/>
        <v>22.244210656581629</v>
      </c>
      <c r="N36" s="60">
        <f t="shared" si="7"/>
        <v>96.247952647243025</v>
      </c>
    </row>
    <row r="37" spans="1:22" ht="38.25" customHeight="1" x14ac:dyDescent="0.3">
      <c r="A37" s="55"/>
      <c r="B37" s="55" t="s">
        <v>46</v>
      </c>
      <c r="C37" s="62">
        <v>223</v>
      </c>
      <c r="D37" s="62">
        <v>223</v>
      </c>
      <c r="E37" s="62">
        <v>215</v>
      </c>
      <c r="F37" s="62" t="s">
        <v>47</v>
      </c>
      <c r="G37" s="62">
        <v>1352</v>
      </c>
      <c r="H37" s="62">
        <v>1352</v>
      </c>
      <c r="I37" s="62">
        <v>1293</v>
      </c>
      <c r="J37" s="62" t="s">
        <v>47</v>
      </c>
      <c r="K37" s="81">
        <v>18</v>
      </c>
      <c r="L37" s="81">
        <v>18</v>
      </c>
      <c r="M37" s="81">
        <v>18</v>
      </c>
      <c r="N37" s="81" t="s">
        <v>47</v>
      </c>
    </row>
    <row r="38" spans="1:22" ht="54.75" customHeight="1" x14ac:dyDescent="0.3">
      <c r="A38" s="55"/>
      <c r="B38" s="55" t="s">
        <v>122</v>
      </c>
      <c r="C38" s="60">
        <f>C14/C37</f>
        <v>0.99044007330641726</v>
      </c>
      <c r="D38" s="60">
        <f t="shared" ref="D38:E38" si="8">D14/D37</f>
        <v>1.7786851962570305</v>
      </c>
      <c r="E38" s="60">
        <f t="shared" si="8"/>
        <v>0.76992539108405567</v>
      </c>
      <c r="F38" s="60">
        <f>SUM(C38:E38)</f>
        <v>3.5390506606475034</v>
      </c>
      <c r="G38" s="60">
        <f>G14/G37</f>
        <v>1.3318183650878808</v>
      </c>
      <c r="H38" s="63">
        <f t="shared" ref="H38:I38" si="9">H14/H37</f>
        <v>2.3616102377582968</v>
      </c>
      <c r="I38" s="60">
        <f t="shared" si="9"/>
        <v>1.0050938981956172</v>
      </c>
      <c r="J38" s="60">
        <f>SUM(G38:I38)</f>
        <v>4.6985225010417944</v>
      </c>
      <c r="K38" s="60">
        <f>K14/K37</f>
        <v>1.1666987165888161</v>
      </c>
      <c r="L38" s="60">
        <f t="shared" ref="L38:M38" si="10">L14/L37</f>
        <v>2.0849119053037466</v>
      </c>
      <c r="M38" s="60">
        <f t="shared" si="10"/>
        <v>0.97737640963728412</v>
      </c>
      <c r="N38" s="60">
        <f>SUM(K38:M38)</f>
        <v>4.2289870315298472</v>
      </c>
    </row>
    <row r="39" spans="1:22" ht="53.25" customHeight="1" x14ac:dyDescent="0.3">
      <c r="A39" s="55"/>
      <c r="B39" s="55" t="s">
        <v>125</v>
      </c>
      <c r="C39" s="59">
        <f>C9/C37</f>
        <v>0.46502242152466366</v>
      </c>
      <c r="D39" s="59">
        <f>D9/D37</f>
        <v>0.83511210762331833</v>
      </c>
      <c r="E39" s="59">
        <f>E9/E37</f>
        <v>0.36148837209302326</v>
      </c>
      <c r="F39" s="59">
        <f>SUM(C39:E39)</f>
        <v>1.6616229012410053</v>
      </c>
      <c r="G39" s="59">
        <f>G9/G37</f>
        <v>0.62530325443786983</v>
      </c>
      <c r="H39" s="59">
        <f>H9/H37</f>
        <v>1.1088017751479289</v>
      </c>
      <c r="I39" s="59">
        <f>I9/I37</f>
        <v>0.47190255220417632</v>
      </c>
      <c r="J39" s="59">
        <f>G39+H39+I39</f>
        <v>2.2060075817899749</v>
      </c>
      <c r="K39" s="59">
        <f>K9/K37</f>
        <v>0.5477777777777777</v>
      </c>
      <c r="L39" s="59">
        <f>L9/L37</f>
        <v>0.97888888888888892</v>
      </c>
      <c r="M39" s="59">
        <f>M9/M37</f>
        <v>0.4588888888888889</v>
      </c>
      <c r="N39" s="59">
        <f>SUM(K39:M39)</f>
        <v>1.9855555555555555</v>
      </c>
    </row>
  </sheetData>
  <mergeCells count="5">
    <mergeCell ref="H1:N1"/>
    <mergeCell ref="C6:F6"/>
    <mergeCell ref="G6:J6"/>
    <mergeCell ref="K6:N6"/>
    <mergeCell ref="A6:B6"/>
  </mergeCells>
  <pageMargins left="0.7" right="0.7" top="0.75" bottom="0.75" header="0.3" footer="0.3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2A82-FD92-4B1B-8B4C-FCCD9A2C63B4}">
  <sheetPr>
    <pageSetUpPr fitToPage="1"/>
  </sheetPr>
  <dimension ref="A1:X42"/>
  <sheetViews>
    <sheetView zoomScale="106" zoomScaleNormal="106" workbookViewId="0">
      <selection activeCell="N8" sqref="N8"/>
    </sheetView>
  </sheetViews>
  <sheetFormatPr defaultColWidth="9.109375" defaultRowHeight="15.6" x14ac:dyDescent="0.3"/>
  <cols>
    <col min="1" max="1" width="17.88671875" style="76" customWidth="1"/>
    <col min="2" max="2" width="43" style="79" customWidth="1"/>
    <col min="3" max="6" width="10.6640625" style="76" customWidth="1"/>
    <col min="7" max="7" width="11.109375" style="73" hidden="1" customWidth="1"/>
    <col min="8" max="9" width="9.109375" style="73" hidden="1" customWidth="1"/>
    <col min="10" max="10" width="27.6640625" style="73" hidden="1" customWidth="1"/>
    <col min="11" max="11" width="9.109375" style="73"/>
    <col min="12" max="16384" width="9.109375" style="76"/>
  </cols>
  <sheetData>
    <row r="1" spans="1:24" s="70" customFormat="1" ht="46.5" customHeight="1" x14ac:dyDescent="0.3">
      <c r="A1" s="66"/>
      <c r="B1" s="14" t="s">
        <v>137</v>
      </c>
      <c r="C1" s="14"/>
      <c r="D1" s="14"/>
      <c r="E1" s="14"/>
      <c r="F1" s="14"/>
      <c r="G1" s="72"/>
      <c r="H1" s="83"/>
      <c r="I1" s="68"/>
      <c r="J1" s="68"/>
      <c r="K1" s="68"/>
    </row>
    <row r="2" spans="1:24" s="70" customFormat="1" x14ac:dyDescent="0.3">
      <c r="A2" s="65"/>
      <c r="B2" s="65"/>
      <c r="C2" s="71"/>
      <c r="D2" s="71"/>
      <c r="E2" s="71"/>
      <c r="F2" s="82"/>
      <c r="G2" s="83"/>
      <c r="H2" s="83"/>
      <c r="I2" s="68"/>
      <c r="J2" s="68"/>
      <c r="K2" s="68"/>
    </row>
    <row r="3" spans="1:24" s="70" customFormat="1" x14ac:dyDescent="0.3">
      <c r="A3" s="64" t="s">
        <v>14</v>
      </c>
      <c r="B3" s="65"/>
      <c r="C3" s="71"/>
      <c r="D3" s="71"/>
      <c r="E3" s="71"/>
      <c r="F3" s="71"/>
      <c r="G3" s="68"/>
      <c r="H3" s="68"/>
      <c r="I3" s="68"/>
      <c r="J3" s="68"/>
      <c r="K3" s="68"/>
    </row>
    <row r="4" spans="1:24" s="70" customFormat="1" x14ac:dyDescent="0.3">
      <c r="A4" s="16" t="s">
        <v>126</v>
      </c>
      <c r="B4" s="66"/>
      <c r="C4" s="65"/>
      <c r="D4" s="71"/>
      <c r="E4" s="71"/>
      <c r="F4" s="71"/>
      <c r="G4" s="68"/>
      <c r="H4" s="68"/>
      <c r="I4" s="68"/>
      <c r="J4" s="68"/>
      <c r="K4" s="68"/>
    </row>
    <row r="6" spans="1:24" ht="46.8" x14ac:dyDescent="0.3">
      <c r="A6" s="9" t="s">
        <v>7</v>
      </c>
      <c r="B6" s="8"/>
      <c r="C6" s="11" t="s">
        <v>60</v>
      </c>
      <c r="D6" s="11"/>
      <c r="E6" s="11"/>
      <c r="F6" s="11"/>
      <c r="H6" s="74" t="s">
        <v>79</v>
      </c>
      <c r="I6" s="74" t="s">
        <v>80</v>
      </c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</row>
    <row r="7" spans="1:24" x14ac:dyDescent="0.3">
      <c r="A7" s="56" t="s">
        <v>15</v>
      </c>
      <c r="B7" s="56" t="s">
        <v>16</v>
      </c>
      <c r="C7" s="57" t="s">
        <v>1</v>
      </c>
      <c r="D7" s="57" t="s">
        <v>2</v>
      </c>
      <c r="E7" s="57" t="s">
        <v>3</v>
      </c>
      <c r="F7" s="57" t="s">
        <v>4</v>
      </c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1:24" x14ac:dyDescent="0.3">
      <c r="A8" s="56"/>
      <c r="B8" s="55" t="s">
        <v>17</v>
      </c>
      <c r="C8" s="56"/>
      <c r="D8" s="56"/>
      <c r="E8" s="56"/>
      <c r="F8" s="56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</row>
    <row r="9" spans="1:24" x14ac:dyDescent="0.3">
      <c r="A9" s="58">
        <v>2363</v>
      </c>
      <c r="B9" s="55" t="s">
        <v>18</v>
      </c>
      <c r="C9" s="59">
        <v>351.17</v>
      </c>
      <c r="D9" s="59">
        <v>538.23</v>
      </c>
      <c r="E9" s="59">
        <v>267.72000000000003</v>
      </c>
      <c r="F9" s="59">
        <f>C9+D9+E9</f>
        <v>1157.1200000000001</v>
      </c>
      <c r="H9" s="88">
        <v>1157.3699999999999</v>
      </c>
      <c r="L9" s="75"/>
      <c r="M9" s="75"/>
      <c r="N9" s="75"/>
      <c r="O9" s="75"/>
      <c r="P9" s="75"/>
      <c r="Q9" s="75"/>
      <c r="R9" s="75"/>
      <c r="S9" s="75"/>
      <c r="T9" s="75"/>
      <c r="U9" s="89">
        <v>1157.1199999999999</v>
      </c>
      <c r="V9" s="75"/>
      <c r="W9" s="75"/>
      <c r="X9" s="75"/>
    </row>
    <row r="10" spans="1:24" x14ac:dyDescent="0.3">
      <c r="A10" s="58">
        <v>1100</v>
      </c>
      <c r="B10" s="55" t="s">
        <v>19</v>
      </c>
      <c r="C10" s="60">
        <f>I10/H9*C9</f>
        <v>296.44201076578798</v>
      </c>
      <c r="D10" s="60">
        <f>I10/H9*D9</f>
        <v>454.34969802224015</v>
      </c>
      <c r="E10" s="60">
        <f>I10/H9*E9</f>
        <v>225.99725239119735</v>
      </c>
      <c r="F10" s="60">
        <f>SUM(C10:E10)</f>
        <v>976.78896117922545</v>
      </c>
      <c r="I10" s="73">
        <v>977</v>
      </c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spans="1:24" ht="46.8" x14ac:dyDescent="0.3">
      <c r="A11" s="58">
        <v>1200</v>
      </c>
      <c r="B11" s="55" t="s">
        <v>20</v>
      </c>
      <c r="C11" s="60">
        <f>I11/H9*C9</f>
        <v>69.930670339649396</v>
      </c>
      <c r="D11" s="60">
        <f>I11/H9*D9</f>
        <v>107.18109376344646</v>
      </c>
      <c r="E11" s="60">
        <f>I11/H9*E9</f>
        <v>53.312751839083454</v>
      </c>
      <c r="F11" s="60">
        <f>SUM(C11:E11)</f>
        <v>230.42451594217931</v>
      </c>
      <c r="I11" s="73">
        <f>I10*0.2359</f>
        <v>230.4743</v>
      </c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spans="1:24" x14ac:dyDescent="0.3">
      <c r="A12" s="58">
        <v>2222</v>
      </c>
      <c r="B12" s="55" t="s">
        <v>21</v>
      </c>
      <c r="C12" s="60">
        <f>I12/H9*C9</f>
        <v>58.693697607506685</v>
      </c>
      <c r="D12" s="60">
        <f>I12/H9*D9</f>
        <v>89.958449933901875</v>
      </c>
      <c r="E12" s="60">
        <f>I12/H9*E9</f>
        <v>44.746068068119975</v>
      </c>
      <c r="F12" s="60">
        <f t="shared" ref="F12:F13" si="0">SUM(C12:E12)</f>
        <v>193.39821560952853</v>
      </c>
      <c r="I12" s="73">
        <f>1488*0.13</f>
        <v>193.44</v>
      </c>
      <c r="J12" s="68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spans="1:24" x14ac:dyDescent="0.3">
      <c r="A13" s="58">
        <v>2223</v>
      </c>
      <c r="B13" s="55" t="s">
        <v>22</v>
      </c>
      <c r="C13" s="60">
        <f>I13/H9*C9</f>
        <v>178.13221666364259</v>
      </c>
      <c r="D13" s="60">
        <f>I13/H9*D9</f>
        <v>273.01905907358929</v>
      </c>
      <c r="E13" s="60">
        <f>I13/H9*E9</f>
        <v>135.80191088415981</v>
      </c>
      <c r="F13" s="60">
        <f t="shared" si="0"/>
        <v>586.95318662139175</v>
      </c>
      <c r="I13" s="73">
        <f>4516*0.13</f>
        <v>587.08000000000004</v>
      </c>
      <c r="J13" s="68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spans="1:24" x14ac:dyDescent="0.3">
      <c r="A14" s="56"/>
      <c r="B14" s="61" t="s">
        <v>23</v>
      </c>
      <c r="C14" s="60">
        <f>SUM(C9:C13)</f>
        <v>954.36859537658665</v>
      </c>
      <c r="D14" s="60">
        <f t="shared" ref="D14:F14" si="1">SUM(D9:D13)</f>
        <v>1462.7383007931776</v>
      </c>
      <c r="E14" s="60">
        <f t="shared" si="1"/>
        <v>727.57798318256062</v>
      </c>
      <c r="F14" s="60">
        <f t="shared" si="1"/>
        <v>3144.684879352325</v>
      </c>
      <c r="I14" s="87">
        <f>SUM(I10:I13)</f>
        <v>1987.9943000000003</v>
      </c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pans="1:24" x14ac:dyDescent="0.3">
      <c r="A15" s="56"/>
      <c r="B15" s="55" t="s">
        <v>24</v>
      </c>
      <c r="C15" s="60"/>
      <c r="D15" s="60"/>
      <c r="E15" s="60"/>
      <c r="F15" s="60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 x14ac:dyDescent="0.3">
      <c r="A16" s="58">
        <v>1100</v>
      </c>
      <c r="B16" s="55" t="s">
        <v>25</v>
      </c>
      <c r="C16" s="60">
        <f t="shared" ref="C16:F34" si="2">$V16/$U$9*C$9</f>
        <v>144.07098866150446</v>
      </c>
      <c r="D16" s="60">
        <f t="shared" si="2"/>
        <v>220.81421598451331</v>
      </c>
      <c r="E16" s="60">
        <f t="shared" si="2"/>
        <v>109.83479535398233</v>
      </c>
      <c r="F16" s="60">
        <f t="shared" si="2"/>
        <v>474.72000000000014</v>
      </c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69">
        <v>474.72</v>
      </c>
      <c r="W16" s="69"/>
      <c r="X16" s="75"/>
    </row>
    <row r="17" spans="1:24" ht="46.8" x14ac:dyDescent="0.3">
      <c r="A17" s="58">
        <v>1200</v>
      </c>
      <c r="B17" s="55" t="s">
        <v>26</v>
      </c>
      <c r="C17" s="60">
        <f t="shared" si="2"/>
        <v>33.986346225248901</v>
      </c>
      <c r="D17" s="60">
        <f t="shared" si="2"/>
        <v>52.090073550746695</v>
      </c>
      <c r="E17" s="60">
        <f t="shared" si="2"/>
        <v>25.910028224004432</v>
      </c>
      <c r="F17" s="60">
        <f t="shared" si="2"/>
        <v>111.98644800000004</v>
      </c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69">
        <f>V16*0.2359</f>
        <v>111.98644800000001</v>
      </c>
      <c r="W17" s="69"/>
      <c r="X17" s="75"/>
    </row>
    <row r="18" spans="1:24" x14ac:dyDescent="0.3">
      <c r="A18" s="58">
        <v>2210</v>
      </c>
      <c r="B18" s="55" t="s">
        <v>27</v>
      </c>
      <c r="C18" s="60">
        <f t="shared" si="2"/>
        <v>1.5811633192754426</v>
      </c>
      <c r="D18" s="60">
        <f t="shared" si="2"/>
        <v>2.4234118328263277</v>
      </c>
      <c r="E18" s="60">
        <f t="shared" si="2"/>
        <v>1.2054248478982303</v>
      </c>
      <c r="F18" s="60">
        <f t="shared" si="2"/>
        <v>5.2100000000000009</v>
      </c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31">
        <v>5.21</v>
      </c>
      <c r="W18" s="31" t="s">
        <v>108</v>
      </c>
      <c r="X18" s="75"/>
    </row>
    <row r="19" spans="1:24" x14ac:dyDescent="0.3">
      <c r="A19" s="58">
        <v>2221</v>
      </c>
      <c r="B19" s="55" t="s">
        <v>28</v>
      </c>
      <c r="C19" s="60">
        <f t="shared" si="2"/>
        <v>19.344213046183633</v>
      </c>
      <c r="D19" s="60">
        <f t="shared" si="2"/>
        <v>29.648420388550889</v>
      </c>
      <c r="E19" s="60">
        <f t="shared" si="2"/>
        <v>14.747366565265491</v>
      </c>
      <c r="F19" s="60">
        <f t="shared" si="2"/>
        <v>63.740000000000016</v>
      </c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31">
        <v>63.74</v>
      </c>
      <c r="W19" s="31" t="s">
        <v>89</v>
      </c>
      <c r="X19" s="75"/>
    </row>
    <row r="20" spans="1:24" x14ac:dyDescent="0.3">
      <c r="A20" s="58">
        <v>2224</v>
      </c>
      <c r="B20" s="55" t="s">
        <v>29</v>
      </c>
      <c r="C20" s="60">
        <f t="shared" si="2"/>
        <v>2.2913211248617258</v>
      </c>
      <c r="D20" s="60">
        <f t="shared" si="2"/>
        <v>3.5118539995851772</v>
      </c>
      <c r="E20" s="60">
        <f t="shared" si="2"/>
        <v>1.7468248755530977</v>
      </c>
      <c r="F20" s="60">
        <f t="shared" si="2"/>
        <v>7.5500000000000016</v>
      </c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31">
        <v>7.55</v>
      </c>
      <c r="W20" s="31" t="s">
        <v>90</v>
      </c>
      <c r="X20" s="75"/>
    </row>
    <row r="21" spans="1:24" x14ac:dyDescent="0.3">
      <c r="A21" s="58">
        <v>2234</v>
      </c>
      <c r="B21" s="55" t="s">
        <v>30</v>
      </c>
      <c r="C21" s="60">
        <f t="shared" si="2"/>
        <v>18.209174502212392</v>
      </c>
      <c r="D21" s="60">
        <f t="shared" si="2"/>
        <v>27.908773506637175</v>
      </c>
      <c r="E21" s="60">
        <f t="shared" si="2"/>
        <v>13.882051991150446</v>
      </c>
      <c r="F21" s="60">
        <f t="shared" si="2"/>
        <v>60.000000000000014</v>
      </c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31">
        <f>2*30</f>
        <v>60</v>
      </c>
      <c r="W21" s="31" t="s">
        <v>91</v>
      </c>
      <c r="X21" s="75"/>
    </row>
    <row r="22" spans="1:24" x14ac:dyDescent="0.3">
      <c r="A22" s="58">
        <v>2235</v>
      </c>
      <c r="B22" s="55" t="s">
        <v>31</v>
      </c>
      <c r="C22" s="60">
        <f t="shared" si="2"/>
        <v>12.139449668141594</v>
      </c>
      <c r="D22" s="60">
        <f t="shared" si="2"/>
        <v>18.605849004424783</v>
      </c>
      <c r="E22" s="60">
        <f t="shared" si="2"/>
        <v>9.2547013274336312</v>
      </c>
      <c r="F22" s="60">
        <f t="shared" si="2"/>
        <v>40.000000000000007</v>
      </c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31">
        <f>2*20</f>
        <v>40</v>
      </c>
      <c r="W22" s="31" t="s">
        <v>92</v>
      </c>
      <c r="X22" s="75"/>
    </row>
    <row r="23" spans="1:24" x14ac:dyDescent="0.3">
      <c r="A23" s="58">
        <v>2243</v>
      </c>
      <c r="B23" s="55" t="s">
        <v>32</v>
      </c>
      <c r="C23" s="60">
        <f t="shared" si="2"/>
        <v>12.139449668141594</v>
      </c>
      <c r="D23" s="60">
        <f t="shared" si="2"/>
        <v>18.605849004424783</v>
      </c>
      <c r="E23" s="60">
        <f t="shared" si="2"/>
        <v>9.2547013274336312</v>
      </c>
      <c r="F23" s="60">
        <f t="shared" si="2"/>
        <v>40.000000000000007</v>
      </c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31">
        <v>40</v>
      </c>
      <c r="W23" s="31" t="s">
        <v>93</v>
      </c>
      <c r="X23" s="75"/>
    </row>
    <row r="24" spans="1:24" x14ac:dyDescent="0.3">
      <c r="A24" s="58">
        <v>2244</v>
      </c>
      <c r="B24" s="55" t="s">
        <v>33</v>
      </c>
      <c r="C24" s="60">
        <f t="shared" si="2"/>
        <v>2.6433651652378325</v>
      </c>
      <c r="D24" s="60">
        <f t="shared" si="2"/>
        <v>4.0514236207134964</v>
      </c>
      <c r="E24" s="60">
        <f t="shared" si="2"/>
        <v>2.0152112140486729</v>
      </c>
      <c r="F24" s="60">
        <f t="shared" si="2"/>
        <v>8.7100000000000026</v>
      </c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31">
        <v>8.7100000000000009</v>
      </c>
      <c r="W24" s="31" t="s">
        <v>94</v>
      </c>
      <c r="X24" s="75"/>
    </row>
    <row r="25" spans="1:24" x14ac:dyDescent="0.3">
      <c r="A25" s="58">
        <v>2247</v>
      </c>
      <c r="B25" s="55" t="s">
        <v>34</v>
      </c>
      <c r="C25" s="60">
        <f t="shared" si="2"/>
        <v>7.8906422842920362E-2</v>
      </c>
      <c r="D25" s="60">
        <f t="shared" si="2"/>
        <v>0.12093801852876108</v>
      </c>
      <c r="E25" s="60">
        <f t="shared" si="2"/>
        <v>6.0155558628318596E-2</v>
      </c>
      <c r="F25" s="60">
        <f t="shared" si="2"/>
        <v>0.26000000000000006</v>
      </c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31">
        <v>0.26</v>
      </c>
      <c r="W25" s="31" t="s">
        <v>95</v>
      </c>
      <c r="X25" s="75"/>
    </row>
    <row r="26" spans="1:24" x14ac:dyDescent="0.3">
      <c r="A26" s="58">
        <v>2251</v>
      </c>
      <c r="B26" s="55" t="s">
        <v>35</v>
      </c>
      <c r="C26" s="60">
        <f t="shared" si="2"/>
        <v>0</v>
      </c>
      <c r="D26" s="60">
        <f t="shared" si="2"/>
        <v>0</v>
      </c>
      <c r="E26" s="60">
        <f t="shared" si="2"/>
        <v>0</v>
      </c>
      <c r="F26" s="60">
        <f t="shared" si="2"/>
        <v>0</v>
      </c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31">
        <v>0</v>
      </c>
      <c r="W26" s="31" t="s">
        <v>96</v>
      </c>
      <c r="X26" s="75"/>
    </row>
    <row r="27" spans="1:24" x14ac:dyDescent="0.3">
      <c r="A27" s="58">
        <v>2311</v>
      </c>
      <c r="B27" s="55" t="s">
        <v>36</v>
      </c>
      <c r="C27" s="60">
        <f t="shared" si="2"/>
        <v>0.53717064781526558</v>
      </c>
      <c r="D27" s="60">
        <f t="shared" si="2"/>
        <v>0.82330881844579662</v>
      </c>
      <c r="E27" s="60">
        <f t="shared" si="2"/>
        <v>0.40952053373893815</v>
      </c>
      <c r="F27" s="60">
        <f t="shared" si="2"/>
        <v>1.7700000000000005</v>
      </c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31">
        <v>1.77</v>
      </c>
      <c r="W27" s="31" t="s">
        <v>97</v>
      </c>
      <c r="X27" s="75"/>
    </row>
    <row r="28" spans="1:24" x14ac:dyDescent="0.3">
      <c r="A28" s="58">
        <v>2312</v>
      </c>
      <c r="B28" s="55" t="s">
        <v>37</v>
      </c>
      <c r="C28" s="60">
        <f t="shared" si="2"/>
        <v>1.6691743293694692</v>
      </c>
      <c r="D28" s="60">
        <f t="shared" si="2"/>
        <v>2.5583042381084073</v>
      </c>
      <c r="E28" s="60">
        <f t="shared" si="2"/>
        <v>1.2725214325221241</v>
      </c>
      <c r="F28" s="60">
        <f t="shared" si="2"/>
        <v>5.5000000000000009</v>
      </c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31">
        <v>5.5</v>
      </c>
      <c r="W28" s="31" t="s">
        <v>98</v>
      </c>
      <c r="X28" s="75"/>
    </row>
    <row r="29" spans="1:24" x14ac:dyDescent="0.3">
      <c r="A29" s="58">
        <v>2321</v>
      </c>
      <c r="B29" s="55" t="s">
        <v>38</v>
      </c>
      <c r="C29" s="60">
        <f t="shared" si="2"/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31">
        <v>0</v>
      </c>
      <c r="W29" s="31" t="s">
        <v>99</v>
      </c>
      <c r="X29" s="75"/>
    </row>
    <row r="30" spans="1:24" x14ac:dyDescent="0.3">
      <c r="A30" s="58">
        <v>2341</v>
      </c>
      <c r="B30" s="55" t="s">
        <v>39</v>
      </c>
      <c r="C30" s="60">
        <f t="shared" si="2"/>
        <v>1.8209174502212391E-2</v>
      </c>
      <c r="D30" s="60">
        <f t="shared" si="2"/>
        <v>2.7908773506637171E-2</v>
      </c>
      <c r="E30" s="60">
        <f t="shared" si="2"/>
        <v>1.3882051991150446E-2</v>
      </c>
      <c r="F30" s="60">
        <f t="shared" si="2"/>
        <v>6.0000000000000012E-2</v>
      </c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31">
        <v>0.06</v>
      </c>
      <c r="W30" s="31" t="s">
        <v>100</v>
      </c>
      <c r="X30" s="75"/>
    </row>
    <row r="31" spans="1:24" x14ac:dyDescent="0.3">
      <c r="A31" s="58">
        <v>2351</v>
      </c>
      <c r="B31" s="55" t="s">
        <v>40</v>
      </c>
      <c r="C31" s="60">
        <f t="shared" si="2"/>
        <v>2.2002752523506639</v>
      </c>
      <c r="D31" s="60">
        <f t="shared" si="2"/>
        <v>3.3723101320519917</v>
      </c>
      <c r="E31" s="60">
        <f t="shared" si="2"/>
        <v>1.6774146155973455</v>
      </c>
      <c r="F31" s="60">
        <f t="shared" si="2"/>
        <v>7.2500000000000009</v>
      </c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31">
        <v>7.25</v>
      </c>
      <c r="W31" s="31" t="s">
        <v>97</v>
      </c>
      <c r="X31" s="75"/>
    </row>
    <row r="32" spans="1:24" x14ac:dyDescent="0.3">
      <c r="A32" s="58">
        <v>2352</v>
      </c>
      <c r="B32" s="55" t="s">
        <v>41</v>
      </c>
      <c r="C32" s="60">
        <f t="shared" si="2"/>
        <v>2.4036110342920356</v>
      </c>
      <c r="D32" s="60">
        <f t="shared" si="2"/>
        <v>3.6839581028761064</v>
      </c>
      <c r="E32" s="60">
        <f t="shared" si="2"/>
        <v>1.8324308628318586</v>
      </c>
      <c r="F32" s="60">
        <f t="shared" si="2"/>
        <v>7.9200000000000008</v>
      </c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31">
        <v>7.92</v>
      </c>
      <c r="W32" s="31" t="s">
        <v>98</v>
      </c>
      <c r="X32" s="75"/>
    </row>
    <row r="33" spans="1:24" x14ac:dyDescent="0.3">
      <c r="A33" s="58">
        <v>2362</v>
      </c>
      <c r="B33" s="55" t="s">
        <v>42</v>
      </c>
      <c r="C33" s="60">
        <f t="shared" si="2"/>
        <v>5.6660881326050889</v>
      </c>
      <c r="D33" s="60">
        <f t="shared" si="2"/>
        <v>8.6842800228152672</v>
      </c>
      <c r="E33" s="60">
        <f t="shared" si="2"/>
        <v>4.3196318445796464</v>
      </c>
      <c r="F33" s="60">
        <f t="shared" si="2"/>
        <v>18.670000000000005</v>
      </c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31">
        <v>18.670000000000002</v>
      </c>
      <c r="W33" s="31" t="s">
        <v>101</v>
      </c>
      <c r="X33" s="75"/>
    </row>
    <row r="34" spans="1:24" x14ac:dyDescent="0.3">
      <c r="A34" s="58" t="s">
        <v>13</v>
      </c>
      <c r="B34" s="55" t="s">
        <v>43</v>
      </c>
      <c r="C34" s="60">
        <f t="shared" si="2"/>
        <v>40.038939867948017</v>
      </c>
      <c r="D34" s="60">
        <f t="shared" si="2"/>
        <v>61.366741478844034</v>
      </c>
      <c r="E34" s="60">
        <f t="shared" si="2"/>
        <v>30.52431865320797</v>
      </c>
      <c r="F34" s="60">
        <f t="shared" si="2"/>
        <v>131.93000000000004</v>
      </c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31">
        <v>131.93</v>
      </c>
      <c r="W34" s="31" t="s">
        <v>43</v>
      </c>
      <c r="X34" s="75"/>
    </row>
    <row r="35" spans="1:24" x14ac:dyDescent="0.3">
      <c r="A35" s="56"/>
      <c r="B35" s="61" t="s">
        <v>44</v>
      </c>
      <c r="C35" s="60">
        <f>SUM(C16:C34)</f>
        <v>299.01784624253321</v>
      </c>
      <c r="D35" s="60">
        <f t="shared" ref="D35:F35" si="3">SUM(D16:D34)</f>
        <v>458.29762047759959</v>
      </c>
      <c r="E35" s="60">
        <f t="shared" si="3"/>
        <v>227.96098127986727</v>
      </c>
      <c r="F35" s="60">
        <f t="shared" si="3"/>
        <v>985.27644800000007</v>
      </c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</row>
    <row r="36" spans="1:24" ht="56.25" customHeight="1" x14ac:dyDescent="0.3">
      <c r="A36" s="55" t="s">
        <v>45</v>
      </c>
      <c r="B36" s="55" t="s">
        <v>45</v>
      </c>
      <c r="C36" s="60">
        <f>C14+C34</f>
        <v>994.40753524453464</v>
      </c>
      <c r="D36" s="60">
        <f t="shared" ref="D36:F36" si="4">D14+D34</f>
        <v>1524.1050422720216</v>
      </c>
      <c r="E36" s="60">
        <f t="shared" si="4"/>
        <v>758.10230183576857</v>
      </c>
      <c r="F36" s="60">
        <f t="shared" si="4"/>
        <v>3276.6148793523248</v>
      </c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</row>
    <row r="37" spans="1:24" ht="68.25" customHeight="1" x14ac:dyDescent="0.3">
      <c r="A37" s="55" t="s">
        <v>46</v>
      </c>
      <c r="B37" s="55" t="s">
        <v>46</v>
      </c>
      <c r="C37" s="62">
        <v>673</v>
      </c>
      <c r="D37" s="62">
        <v>698</v>
      </c>
      <c r="E37" s="62">
        <v>672</v>
      </c>
      <c r="F37" s="62" t="s">
        <v>47</v>
      </c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</row>
    <row r="38" spans="1:24" ht="136.5" customHeight="1" x14ac:dyDescent="0.3">
      <c r="A38" s="55" t="s">
        <v>127</v>
      </c>
      <c r="B38" s="55" t="s">
        <v>123</v>
      </c>
      <c r="C38" s="60">
        <f>C14/C37</f>
        <v>1.4180811224020604</v>
      </c>
      <c r="D38" s="63">
        <f t="shared" ref="D38:E38" si="5">D14/D37</f>
        <v>2.0956136114515438</v>
      </c>
      <c r="E38" s="60">
        <f t="shared" si="5"/>
        <v>1.0827053321169058</v>
      </c>
      <c r="F38" s="60">
        <f>SUM(C38:E38)</f>
        <v>4.59640006597051</v>
      </c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</row>
    <row r="39" spans="1:24" ht="130.5" customHeight="1" x14ac:dyDescent="0.3">
      <c r="A39" s="55" t="s">
        <v>125</v>
      </c>
      <c r="B39" s="55" t="s">
        <v>125</v>
      </c>
      <c r="C39" s="59">
        <f>C9/C37</f>
        <v>0.52179791976225853</v>
      </c>
      <c r="D39" s="59">
        <f>D9/D37</f>
        <v>0.77110315186246425</v>
      </c>
      <c r="E39" s="59">
        <f>E9/E37</f>
        <v>0.39839285714285716</v>
      </c>
      <c r="F39" s="59">
        <f>SUM(C39:E39)</f>
        <v>1.6912939287675799</v>
      </c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</row>
    <row r="40" spans="1:24" x14ac:dyDescent="0.3"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</row>
    <row r="41" spans="1:24" x14ac:dyDescent="0.3"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</row>
    <row r="42" spans="1:24" x14ac:dyDescent="0.3"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</row>
  </sheetData>
  <mergeCells count="3">
    <mergeCell ref="C6:F6"/>
    <mergeCell ref="A6:B6"/>
    <mergeCell ref="B1:F1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22</vt:i4>
      </vt:variant>
    </vt:vector>
  </HeadingPairs>
  <TitlesOfParts>
    <vt:vector size="22" baseType="lpstr">
      <vt:lpstr>1.Pielikums</vt:lpstr>
      <vt:lpstr>2.Pielikums</vt:lpstr>
      <vt:lpstr>3.Pielikums</vt:lpstr>
      <vt:lpstr>4.Pielikums</vt:lpstr>
      <vt:lpstr>5.Pielikums</vt:lpstr>
      <vt:lpstr>6.Pielikums</vt:lpstr>
      <vt:lpstr>7.Pielikums</vt:lpstr>
      <vt:lpstr>8.Pielikums</vt:lpstr>
      <vt:lpstr>9.Pielikums</vt:lpstr>
      <vt:lpstr>10.Pielikums</vt:lpstr>
      <vt:lpstr>11.Pielikums</vt:lpstr>
      <vt:lpstr>12.Pielikums</vt:lpstr>
      <vt:lpstr>13.Pielikums</vt:lpstr>
      <vt:lpstr>14.Pielikums</vt:lpstr>
      <vt:lpstr>15.Pielikums</vt:lpstr>
      <vt:lpstr>16.Pielikums</vt:lpstr>
      <vt:lpstr>17.Pielikums</vt:lpstr>
      <vt:lpstr>18.Pielikums</vt:lpstr>
      <vt:lpstr>19.Pielikums</vt:lpstr>
      <vt:lpstr>20.Pielikums</vt:lpstr>
      <vt:lpstr>21.Pielikums</vt:lpstr>
      <vt:lpstr>22.Pielikums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Ainārs Korulis</cp:lastModifiedBy>
  <cp:lastPrinted>2019-08-30T06:25:03Z</cp:lastPrinted>
  <dcterms:created xsi:type="dcterms:W3CDTF">2019-07-30T08:37:20Z</dcterms:created>
  <dcterms:modified xsi:type="dcterms:W3CDTF">2023-08-29T10:21:20Z</dcterms:modified>
  <cp:category/>
</cp:coreProperties>
</file>